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lmanbateman-my.sharepoint.com/personal/ashields_dolmanbateman_com_au/Documents/"/>
    </mc:Choice>
  </mc:AlternateContent>
  <xr:revisionPtr revIDLastSave="0" documentId="8_{B0BAD980-F650-4434-B188-F8658D14254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ssumptions" sheetId="1" r:id="rId1"/>
    <sheet name="Annual" sheetId="6" r:id="rId2"/>
    <sheet name="Profit &amp; Loss" sheetId="3" r:id="rId3"/>
    <sheet name="Cashflow" sheetId="2" r:id="rId4"/>
    <sheet name="Inventory" sheetId="4" r:id="rId5"/>
    <sheet name="Balance Sheet" sheetId="5" r:id="rId6"/>
    <sheet name="Graphs" sheetId="7" r:id="rId7"/>
    <sheet name="Product Weighted Price Costs" sheetId="8" r:id="rId8"/>
  </sheets>
  <definedNames>
    <definedName name="AmzComm">Assumptions!$B$24</definedName>
    <definedName name="DailySales">Assumptions!$C$8</definedName>
    <definedName name="Expy1">Assumptions!$C$45</definedName>
    <definedName name="ExpY2">Assumptions!$D$45</definedName>
    <definedName name="ExpY3">Assumptions!$E$45</definedName>
    <definedName name="ExpY4">Assumptions!$F$45</definedName>
    <definedName name="FBA">Assumptions!$B$23</definedName>
    <definedName name="Freight">Assumptions!$B$22</definedName>
    <definedName name="IncYear">Assumptions!$G$15</definedName>
    <definedName name="LUC">Assumptions!$B$21</definedName>
    <definedName name="Price">Assumptions!$C$7</definedName>
    <definedName name="Q1Inc">Assumptions!$C$15</definedName>
    <definedName name="Q1Sales">Assumptions!$C$14</definedName>
    <definedName name="Q2Inc">Assumptions!$D$15</definedName>
    <definedName name="Q2Sales">Assumptions!$D$14</definedName>
    <definedName name="Q3Inc">Assumptions!$E$15</definedName>
    <definedName name="Q3Sales">Assumptions!$E$14</definedName>
    <definedName name="Q4Inc">Assumptions!$F$15</definedName>
    <definedName name="Q4Sales">Assumptions!$F$14</definedName>
    <definedName name="SalaryY1">Assumptions!$C$46</definedName>
    <definedName name="SalaryY2">Assumptions!$D$46</definedName>
    <definedName name="Salaryy3">Assumptions!$E$46</definedName>
    <definedName name="SalaryY4">Assumptions!$F$46</definedName>
    <definedName name="tax">Assumptions!$B$48</definedName>
    <definedName name="VariExp">Assumptions!$B$42</definedName>
    <definedName name="Y0Units">Assumptions!$B$12</definedName>
    <definedName name="Y1Inc">Assumptions!$C$16</definedName>
    <definedName name="Y1Units">Assumptions!$C$12</definedName>
    <definedName name="Y2Inc">Assumptions!$D$16</definedName>
    <definedName name="Y2Units">Assumptions!$D$12</definedName>
    <definedName name="Y3Inc">Assumptions!$E$16</definedName>
    <definedName name="Y3Units">Assumptions!$E$12</definedName>
    <definedName name="y4Inc">Assumptions!$F$16</definedName>
    <definedName name="Y4Units">Assumptions!$F$12</definedName>
    <definedName name="Year1Units">Assumptions!$C$12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8" l="1"/>
  <c r="C17" i="8"/>
  <c r="B18" i="8"/>
  <c r="C18" i="8"/>
  <c r="V5" i="8"/>
  <c r="B23" i="8" s="1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B19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B14" i="8"/>
  <c r="J16" i="1"/>
  <c r="F12" i="1"/>
  <c r="V18" i="8" l="1"/>
  <c r="B27" i="8" s="1"/>
  <c r="V19" i="8"/>
  <c r="B28" i="8" s="1"/>
  <c r="V17" i="8"/>
  <c r="B26" i="8" s="1"/>
  <c r="V14" i="8"/>
  <c r="B24" i="8" s="1"/>
  <c r="D12" i="1"/>
  <c r="E12" i="1"/>
  <c r="C12" i="1"/>
  <c r="B5" i="5" l="1"/>
  <c r="G14" i="1"/>
  <c r="B6" i="4"/>
  <c r="B6" i="5" s="1"/>
  <c r="G15" i="1" l="1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F16" i="1"/>
  <c r="E16" i="1"/>
  <c r="D16" i="1"/>
  <c r="C16" i="1"/>
  <c r="D38" i="3" s="1"/>
  <c r="E3" i="6"/>
  <c r="D3" i="6"/>
  <c r="C3" i="6"/>
  <c r="B3" i="6"/>
  <c r="C17" i="2"/>
  <c r="D17" i="2"/>
  <c r="E17" i="2"/>
  <c r="B17" i="2"/>
  <c r="B6" i="2"/>
  <c r="S15" i="5"/>
  <c r="E28" i="1"/>
  <c r="E29" i="1" s="1"/>
  <c r="E30" i="1" s="1"/>
  <c r="E31" i="1" s="1"/>
  <c r="E32" i="1" s="1"/>
  <c r="C11" i="4" s="1"/>
  <c r="C30" i="1"/>
  <c r="C29" i="1"/>
  <c r="C28" i="1"/>
  <c r="F28" i="1" s="1"/>
  <c r="P22" i="3"/>
  <c r="Q22" i="3"/>
  <c r="R22" i="3"/>
  <c r="O22" i="3"/>
  <c r="L22" i="3"/>
  <c r="M22" i="3"/>
  <c r="N22" i="3"/>
  <c r="K22" i="3"/>
  <c r="H22" i="3"/>
  <c r="I22" i="3"/>
  <c r="J22" i="3"/>
  <c r="G22" i="3"/>
  <c r="F22" i="3"/>
  <c r="D22" i="3"/>
  <c r="E22" i="3"/>
  <c r="C22" i="3"/>
  <c r="H38" i="3" l="1"/>
  <c r="H40" i="3" s="1"/>
  <c r="H5" i="3" s="1"/>
  <c r="H10" i="3" s="1"/>
  <c r="L38" i="3"/>
  <c r="L40" i="3" s="1"/>
  <c r="L5" i="3" s="1"/>
  <c r="L10" i="3" s="1"/>
  <c r="R38" i="3"/>
  <c r="R40" i="3" s="1"/>
  <c r="R5" i="3" s="1"/>
  <c r="R12" i="3" s="1"/>
  <c r="Q12" i="2" s="1"/>
  <c r="F29" i="1"/>
  <c r="F30" i="1" s="1"/>
  <c r="F31" i="1" s="1"/>
  <c r="F32" i="1" s="1"/>
  <c r="K38" i="3"/>
  <c r="K40" i="3" s="1"/>
  <c r="K5" i="3" s="1"/>
  <c r="K14" i="3" s="1"/>
  <c r="J13" i="2" s="1"/>
  <c r="C38" i="3"/>
  <c r="C40" i="3" s="1"/>
  <c r="C5" i="3" s="1"/>
  <c r="C14" i="3" s="1"/>
  <c r="B13" i="2" s="1"/>
  <c r="Q38" i="3"/>
  <c r="Q40" i="3" s="1"/>
  <c r="Q5" i="3" s="1"/>
  <c r="P38" i="3"/>
  <c r="P40" i="3" s="1"/>
  <c r="P5" i="3" s="1"/>
  <c r="P10" i="3" s="1"/>
  <c r="O38" i="3"/>
  <c r="O40" i="3" s="1"/>
  <c r="O5" i="3" s="1"/>
  <c r="O14" i="3" s="1"/>
  <c r="N13" i="2" s="1"/>
  <c r="M38" i="3"/>
  <c r="M40" i="3" s="1"/>
  <c r="M5" i="3" s="1"/>
  <c r="N38" i="3"/>
  <c r="N40" i="3" s="1"/>
  <c r="N5" i="3" s="1"/>
  <c r="G38" i="3"/>
  <c r="G40" i="3" s="1"/>
  <c r="G5" i="3" s="1"/>
  <c r="G14" i="3" s="1"/>
  <c r="F13" i="2" s="1"/>
  <c r="J38" i="3"/>
  <c r="J40" i="3" s="1"/>
  <c r="J5" i="3" s="1"/>
  <c r="F38" i="3"/>
  <c r="F40" i="3" s="1"/>
  <c r="F5" i="3" s="1"/>
  <c r="I38" i="3"/>
  <c r="I40" i="3" s="1"/>
  <c r="I5" i="3" s="1"/>
  <c r="E38" i="3"/>
  <c r="E40" i="3" s="1"/>
  <c r="E5" i="3" s="1"/>
  <c r="D40" i="3"/>
  <c r="D5" i="3" s="1"/>
  <c r="D10" i="3" s="1"/>
  <c r="O15" i="2"/>
  <c r="K15" i="2"/>
  <c r="G15" i="2"/>
  <c r="B19" i="6"/>
  <c r="E19" i="6"/>
  <c r="C19" i="6"/>
  <c r="D19" i="6"/>
  <c r="N11" i="4"/>
  <c r="L11" i="4"/>
  <c r="D11" i="4"/>
  <c r="J11" i="4"/>
  <c r="P11" i="4"/>
  <c r="H11" i="4"/>
  <c r="F11" i="4"/>
  <c r="B11" i="4"/>
  <c r="Q11" i="4"/>
  <c r="M11" i="4"/>
  <c r="I11" i="4"/>
  <c r="E11" i="4"/>
  <c r="O11" i="4"/>
  <c r="K11" i="4"/>
  <c r="G11" i="4"/>
  <c r="B15" i="2"/>
  <c r="N15" i="2"/>
  <c r="J15" i="2"/>
  <c r="F15" i="2"/>
  <c r="Q15" i="2"/>
  <c r="M15" i="2"/>
  <c r="I15" i="2"/>
  <c r="E15" i="2"/>
  <c r="C15" i="2"/>
  <c r="P15" i="2"/>
  <c r="L15" i="2"/>
  <c r="H15" i="2"/>
  <c r="D15" i="2"/>
  <c r="P12" i="3" l="1"/>
  <c r="O12" i="2" s="1"/>
  <c r="C7" i="3"/>
  <c r="B3" i="7" s="1"/>
  <c r="P11" i="3"/>
  <c r="O7" i="4" s="1"/>
  <c r="N10" i="4" s="1"/>
  <c r="G12" i="3"/>
  <c r="F12" i="2" s="1"/>
  <c r="C11" i="3"/>
  <c r="O12" i="3"/>
  <c r="N12" i="2" s="1"/>
  <c r="O10" i="3"/>
  <c r="O7" i="3"/>
  <c r="O15" i="3" s="1"/>
  <c r="C10" i="3"/>
  <c r="C12" i="3"/>
  <c r="B12" i="2" s="1"/>
  <c r="O11" i="3"/>
  <c r="K12" i="3"/>
  <c r="J12" i="2" s="1"/>
  <c r="G11" i="3"/>
  <c r="P14" i="3"/>
  <c r="O13" i="2" s="1"/>
  <c r="P7" i="3"/>
  <c r="O3" i="7" s="1"/>
  <c r="K7" i="3"/>
  <c r="J3" i="7" s="1"/>
  <c r="K10" i="3"/>
  <c r="K11" i="3"/>
  <c r="G10" i="3"/>
  <c r="G7" i="3"/>
  <c r="G15" i="3" s="1"/>
  <c r="D7" i="3"/>
  <c r="D13" i="3" s="1"/>
  <c r="C11" i="2" s="1"/>
  <c r="R10" i="3"/>
  <c r="D12" i="3"/>
  <c r="C12" i="2" s="1"/>
  <c r="R7" i="3"/>
  <c r="D14" i="3"/>
  <c r="C13" i="2" s="1"/>
  <c r="R14" i="3"/>
  <c r="Q13" i="2" s="1"/>
  <c r="R11" i="3"/>
  <c r="D11" i="3"/>
  <c r="C7" i="4" s="1"/>
  <c r="B10" i="4" s="1"/>
  <c r="B12" i="5" s="1"/>
  <c r="H14" i="3"/>
  <c r="G13" i="2" s="1"/>
  <c r="H7" i="3"/>
  <c r="L7" i="3"/>
  <c r="L13" i="3" s="1"/>
  <c r="K11" i="2" s="1"/>
  <c r="H12" i="3"/>
  <c r="G12" i="2" s="1"/>
  <c r="H11" i="3"/>
  <c r="G7" i="4" s="1"/>
  <c r="F10" i="4" s="1"/>
  <c r="J12" i="3"/>
  <c r="I12" i="2" s="1"/>
  <c r="J10" i="3"/>
  <c r="J14" i="3"/>
  <c r="I13" i="2" s="1"/>
  <c r="J11" i="3"/>
  <c r="L11" i="3"/>
  <c r="K7" i="4" s="1"/>
  <c r="J10" i="4" s="1"/>
  <c r="L12" i="3"/>
  <c r="K12" i="2" s="1"/>
  <c r="L14" i="3"/>
  <c r="K13" i="2" s="1"/>
  <c r="J7" i="3"/>
  <c r="Q11" i="3"/>
  <c r="Q14" i="3"/>
  <c r="P13" i="2" s="1"/>
  <c r="Q10" i="3"/>
  <c r="Q7" i="3"/>
  <c r="Q12" i="3"/>
  <c r="P12" i="2" s="1"/>
  <c r="M11" i="3"/>
  <c r="M14" i="3"/>
  <c r="L13" i="2" s="1"/>
  <c r="M7" i="3"/>
  <c r="M13" i="3" s="1"/>
  <c r="L11" i="2" s="1"/>
  <c r="M10" i="3"/>
  <c r="M12" i="3"/>
  <c r="L12" i="2" s="1"/>
  <c r="N12" i="3"/>
  <c r="M12" i="2" s="1"/>
  <c r="N10" i="3"/>
  <c r="N11" i="3"/>
  <c r="N14" i="3"/>
  <c r="M13" i="2" s="1"/>
  <c r="N7" i="3"/>
  <c r="F12" i="3"/>
  <c r="E12" i="2" s="1"/>
  <c r="F11" i="3"/>
  <c r="F14" i="3"/>
  <c r="E13" i="2" s="1"/>
  <c r="F7" i="3"/>
  <c r="F10" i="3"/>
  <c r="E11" i="3"/>
  <c r="E12" i="3"/>
  <c r="D12" i="2" s="1"/>
  <c r="E7" i="3"/>
  <c r="E10" i="3"/>
  <c r="E14" i="3"/>
  <c r="D13" i="2" s="1"/>
  <c r="I11" i="3"/>
  <c r="I12" i="3"/>
  <c r="H12" i="2" s="1"/>
  <c r="I10" i="3"/>
  <c r="I14" i="3"/>
  <c r="H13" i="2" s="1"/>
  <c r="I7" i="3"/>
  <c r="C13" i="3" l="1"/>
  <c r="B11" i="2" s="1"/>
  <c r="B8" i="2"/>
  <c r="N7" i="4"/>
  <c r="M10" i="4" s="1"/>
  <c r="N6" i="4" s="1"/>
  <c r="N8" i="4" s="1"/>
  <c r="K13" i="3"/>
  <c r="J8" i="2"/>
  <c r="E7" i="6"/>
  <c r="C15" i="3"/>
  <c r="B7" i="4"/>
  <c r="B8" i="6"/>
  <c r="J7" i="4"/>
  <c r="I10" i="4" s="1"/>
  <c r="J6" i="5" s="1"/>
  <c r="C34" i="6" s="1"/>
  <c r="F3" i="7"/>
  <c r="N3" i="7"/>
  <c r="F7" i="4"/>
  <c r="E10" i="4" s="1"/>
  <c r="F6" i="5" s="1"/>
  <c r="B34" i="6" s="1"/>
  <c r="N8" i="2"/>
  <c r="F8" i="2"/>
  <c r="O13" i="3"/>
  <c r="G13" i="3"/>
  <c r="G16" i="3" s="1"/>
  <c r="K15" i="3"/>
  <c r="J14" i="2" s="1"/>
  <c r="L8" i="2"/>
  <c r="O8" i="2"/>
  <c r="C8" i="6"/>
  <c r="I7" i="4"/>
  <c r="H10" i="4" s="1"/>
  <c r="I6" i="4" s="1"/>
  <c r="E8" i="6"/>
  <c r="C12" i="5"/>
  <c r="D12" i="5" s="1"/>
  <c r="E12" i="5" s="1"/>
  <c r="F12" i="5" s="1"/>
  <c r="B13" i="5"/>
  <c r="L7" i="4"/>
  <c r="K10" i="4" s="1"/>
  <c r="L6" i="5" s="1"/>
  <c r="P15" i="3"/>
  <c r="P13" i="3"/>
  <c r="O11" i="2" s="1"/>
  <c r="C8" i="2"/>
  <c r="F14" i="2"/>
  <c r="N14" i="2"/>
  <c r="I3" i="7"/>
  <c r="J15" i="3"/>
  <c r="K3" i="7"/>
  <c r="L15" i="3"/>
  <c r="L16" i="3" s="1"/>
  <c r="L18" i="3" s="1"/>
  <c r="C3" i="7"/>
  <c r="D15" i="3"/>
  <c r="D16" i="3" s="1"/>
  <c r="D18" i="3" s="1"/>
  <c r="M3" i="7"/>
  <c r="N15" i="3"/>
  <c r="L3" i="7"/>
  <c r="M15" i="3"/>
  <c r="M16" i="3" s="1"/>
  <c r="M18" i="3" s="1"/>
  <c r="I8" i="2"/>
  <c r="M8" i="2"/>
  <c r="H3" i="7"/>
  <c r="I15" i="3"/>
  <c r="G3" i="7"/>
  <c r="H15" i="3"/>
  <c r="Q7" i="4"/>
  <c r="P10" i="4" s="1"/>
  <c r="Q6" i="4" s="1"/>
  <c r="Q3" i="7"/>
  <c r="R15" i="3"/>
  <c r="J13" i="3"/>
  <c r="I11" i="2" s="1"/>
  <c r="N13" i="3"/>
  <c r="M11" i="2" s="1"/>
  <c r="D3" i="7"/>
  <c r="E15" i="3"/>
  <c r="E3" i="7"/>
  <c r="F15" i="3"/>
  <c r="P3" i="7"/>
  <c r="Q15" i="3"/>
  <c r="G8" i="2"/>
  <c r="Q8" i="2"/>
  <c r="R13" i="3"/>
  <c r="Q11" i="2" s="1"/>
  <c r="H13" i="3"/>
  <c r="G11" i="2" s="1"/>
  <c r="P8" i="2"/>
  <c r="E11" i="6"/>
  <c r="C7" i="6"/>
  <c r="D8" i="2"/>
  <c r="E8" i="2"/>
  <c r="E13" i="3"/>
  <c r="D11" i="2" s="1"/>
  <c r="Q13" i="3"/>
  <c r="P11" i="2" s="1"/>
  <c r="F13" i="3"/>
  <c r="E11" i="2" s="1"/>
  <c r="K8" i="2"/>
  <c r="H7" i="4"/>
  <c r="G10" i="4" s="1"/>
  <c r="H6" i="5" s="1"/>
  <c r="C9" i="6"/>
  <c r="E5" i="6"/>
  <c r="M5" i="1" s="1"/>
  <c r="B5" i="6"/>
  <c r="J5" i="1" s="1"/>
  <c r="D8" i="6"/>
  <c r="B11" i="6"/>
  <c r="D5" i="6"/>
  <c r="L5" i="1" s="1"/>
  <c r="B9" i="6"/>
  <c r="D9" i="6"/>
  <c r="H8" i="2"/>
  <c r="C11" i="6"/>
  <c r="E9" i="6"/>
  <c r="P7" i="4"/>
  <c r="M7" i="4"/>
  <c r="L10" i="4" s="1"/>
  <c r="K6" i="4"/>
  <c r="O6" i="4"/>
  <c r="D7" i="4"/>
  <c r="C10" i="4" s="1"/>
  <c r="E7" i="4"/>
  <c r="D10" i="4" s="1"/>
  <c r="G6" i="4"/>
  <c r="C6" i="5"/>
  <c r="C5" i="6"/>
  <c r="K5" i="1" s="1"/>
  <c r="B7" i="6"/>
  <c r="D7" i="6"/>
  <c r="I13" i="3"/>
  <c r="H11" i="2" s="1"/>
  <c r="D11" i="6"/>
  <c r="O6" i="5"/>
  <c r="K6" i="5"/>
  <c r="C6" i="4"/>
  <c r="G6" i="5"/>
  <c r="H16" i="3" l="1"/>
  <c r="H18" i="3" s="1"/>
  <c r="H19" i="3" s="1"/>
  <c r="K16" i="3"/>
  <c r="K18" i="3" s="1"/>
  <c r="P16" i="3"/>
  <c r="P18" i="3" s="1"/>
  <c r="P19" i="3" s="1"/>
  <c r="O16" i="3"/>
  <c r="O18" i="3" s="1"/>
  <c r="Q16" i="3"/>
  <c r="Q18" i="3" s="1"/>
  <c r="Q19" i="3" s="1"/>
  <c r="N16" i="3"/>
  <c r="N18" i="3" s="1"/>
  <c r="N19" i="3" s="1"/>
  <c r="R16" i="3"/>
  <c r="R18" i="3" s="1"/>
  <c r="R19" i="3" s="1"/>
  <c r="F16" i="3"/>
  <c r="F18" i="3" s="1"/>
  <c r="F19" i="3" s="1"/>
  <c r="I16" i="3"/>
  <c r="I18" i="3" s="1"/>
  <c r="G18" i="3"/>
  <c r="G19" i="3" s="1"/>
  <c r="J16" i="3"/>
  <c r="J18" i="3" s="1"/>
  <c r="J19" i="3" s="1"/>
  <c r="C16" i="3"/>
  <c r="C18" i="3" s="1"/>
  <c r="C19" i="3" s="1"/>
  <c r="E16" i="3"/>
  <c r="E18" i="3" s="1"/>
  <c r="E19" i="3" s="1"/>
  <c r="N6" i="5"/>
  <c r="D34" i="6" s="1"/>
  <c r="J6" i="4"/>
  <c r="J8" i="4" s="1"/>
  <c r="J18" i="2" s="1"/>
  <c r="B14" i="2"/>
  <c r="F11" i="2"/>
  <c r="J11" i="2"/>
  <c r="N11" i="2"/>
  <c r="I8" i="4"/>
  <c r="I18" i="2" s="1"/>
  <c r="F6" i="4"/>
  <c r="F8" i="4" s="1"/>
  <c r="F18" i="2" s="1"/>
  <c r="O14" i="2"/>
  <c r="D10" i="6"/>
  <c r="E12" i="6"/>
  <c r="L6" i="4"/>
  <c r="L8" i="4" s="1"/>
  <c r="L18" i="2" s="1"/>
  <c r="I6" i="5"/>
  <c r="E6" i="5"/>
  <c r="G8" i="4"/>
  <c r="G18" i="2" s="1"/>
  <c r="C8" i="4"/>
  <c r="C18" i="2" s="1"/>
  <c r="B40" i="6"/>
  <c r="G12" i="5"/>
  <c r="H12" i="5" s="1"/>
  <c r="I12" i="5" s="1"/>
  <c r="J12" i="5" s="1"/>
  <c r="H6" i="4"/>
  <c r="H8" i="4" s="1"/>
  <c r="H18" i="2" s="1"/>
  <c r="Q6" i="5"/>
  <c r="M6" i="5"/>
  <c r="K8" i="4"/>
  <c r="K18" i="2" s="1"/>
  <c r="H14" i="2"/>
  <c r="L14" i="2"/>
  <c r="C14" i="2"/>
  <c r="I14" i="2"/>
  <c r="E14" i="2"/>
  <c r="B12" i="6"/>
  <c r="G14" i="2"/>
  <c r="M14" i="2"/>
  <c r="K14" i="2"/>
  <c r="P14" i="2"/>
  <c r="D14" i="2"/>
  <c r="Q14" i="2"/>
  <c r="C12" i="6"/>
  <c r="D12" i="6"/>
  <c r="C10" i="6"/>
  <c r="M6" i="4"/>
  <c r="M8" i="4" s="1"/>
  <c r="B10" i="6"/>
  <c r="D19" i="3"/>
  <c r="L19" i="3"/>
  <c r="E10" i="6"/>
  <c r="E6" i="4"/>
  <c r="E8" i="4" s="1"/>
  <c r="E18" i="2" s="1"/>
  <c r="R7" i="4"/>
  <c r="Q10" i="4" s="1"/>
  <c r="O10" i="4"/>
  <c r="O8" i="4" s="1"/>
  <c r="N18" i="2"/>
  <c r="D6" i="5"/>
  <c r="D6" i="4"/>
  <c r="M19" i="3"/>
  <c r="D13" i="6" l="1"/>
  <c r="D15" i="6" s="1"/>
  <c r="D16" i="6" s="1"/>
  <c r="L7" i="1" s="1"/>
  <c r="B13" i="6"/>
  <c r="B15" i="6" s="1"/>
  <c r="B16" i="6" s="1"/>
  <c r="J7" i="1" s="1"/>
  <c r="B26" i="1" s="1"/>
  <c r="C13" i="6"/>
  <c r="C15" i="6" s="1"/>
  <c r="K19" i="3"/>
  <c r="O19" i="3"/>
  <c r="E13" i="6"/>
  <c r="E15" i="6" s="1"/>
  <c r="E16" i="6" s="1"/>
  <c r="M7" i="1" s="1"/>
  <c r="R6" i="5"/>
  <c r="E34" i="6" s="1"/>
  <c r="Q8" i="4"/>
  <c r="Q18" i="2" s="1"/>
  <c r="M18" i="2"/>
  <c r="C40" i="6"/>
  <c r="K12" i="5"/>
  <c r="L12" i="5" s="1"/>
  <c r="M12" i="5" s="1"/>
  <c r="D8" i="4"/>
  <c r="D18" i="2" s="1"/>
  <c r="I19" i="3"/>
  <c r="P6" i="4"/>
  <c r="P6" i="5"/>
  <c r="O18" i="2"/>
  <c r="C13" i="4"/>
  <c r="C16" i="6" l="1"/>
  <c r="P8" i="4"/>
  <c r="P18" i="2" s="1"/>
  <c r="N12" i="5"/>
  <c r="D40" i="6" s="1"/>
  <c r="K7" i="1" l="1"/>
  <c r="O12" i="5"/>
  <c r="P12" i="5" l="1"/>
  <c r="Q12" i="5" l="1"/>
  <c r="R12" i="5" l="1"/>
  <c r="E40" i="6" s="1"/>
  <c r="B8" i="5" l="1"/>
  <c r="B15" i="5" s="1"/>
  <c r="B19" i="5" s="1"/>
  <c r="B8" i="4"/>
  <c r="B18" i="2" l="1"/>
  <c r="C46" i="1" l="1"/>
  <c r="F23" i="3" l="1"/>
  <c r="D23" i="3"/>
  <c r="E23" i="3"/>
  <c r="C23" i="3"/>
  <c r="D16" i="2" l="1"/>
  <c r="D20" i="2" s="1"/>
  <c r="D22" i="2" s="1"/>
  <c r="E25" i="3"/>
  <c r="E27" i="3" s="1"/>
  <c r="B20" i="6"/>
  <c r="B22" i="6" s="1"/>
  <c r="B24" i="6" s="1"/>
  <c r="C25" i="3"/>
  <c r="C27" i="3" s="1"/>
  <c r="B16" i="2"/>
  <c r="B20" i="2" s="1"/>
  <c r="B22" i="2" s="1"/>
  <c r="B24" i="2" s="1"/>
  <c r="D25" i="3"/>
  <c r="D27" i="3" s="1"/>
  <c r="C16" i="2"/>
  <c r="C20" i="2" s="1"/>
  <c r="C22" i="2" s="1"/>
  <c r="E16" i="2"/>
  <c r="E20" i="2" s="1"/>
  <c r="E22" i="2" s="1"/>
  <c r="F25" i="3"/>
  <c r="F27" i="3" s="1"/>
  <c r="C29" i="3" l="1"/>
  <c r="C31" i="3" s="1"/>
  <c r="C33" i="3" s="1"/>
  <c r="C17" i="5" s="1"/>
  <c r="J13" i="1"/>
  <c r="D29" i="3"/>
  <c r="D31" i="3" s="1"/>
  <c r="E29" i="3"/>
  <c r="E31" i="3" s="1"/>
  <c r="F29" i="3"/>
  <c r="F31" i="3" s="1"/>
  <c r="B4" i="7"/>
  <c r="C5" i="5"/>
  <c r="C8" i="5" s="1"/>
  <c r="C6" i="2"/>
  <c r="C24" i="2" s="1"/>
  <c r="D33" i="3" l="1"/>
  <c r="D17" i="5" s="1"/>
  <c r="C4" i="7"/>
  <c r="D5" i="5"/>
  <c r="D8" i="5" s="1"/>
  <c r="D6" i="2"/>
  <c r="D24" i="2" s="1"/>
  <c r="H17" i="2"/>
  <c r="F17" i="2"/>
  <c r="G17" i="2"/>
  <c r="C11" i="5"/>
  <c r="B26" i="6"/>
  <c r="B28" i="6" s="1"/>
  <c r="I17" i="2"/>
  <c r="E33" i="3" l="1"/>
  <c r="E17" i="5" s="1"/>
  <c r="D11" i="5"/>
  <c r="C13" i="5"/>
  <c r="C15" i="5" s="1"/>
  <c r="C19" i="5" s="1"/>
  <c r="D4" i="7"/>
  <c r="E5" i="5"/>
  <c r="E8" i="5" s="1"/>
  <c r="E6" i="2"/>
  <c r="E24" i="2" s="1"/>
  <c r="J9" i="1" s="1"/>
  <c r="F33" i="3" l="1"/>
  <c r="F17" i="5" s="1"/>
  <c r="B45" i="6" s="1"/>
  <c r="F5" i="5"/>
  <c r="E4" i="7"/>
  <c r="F6" i="2"/>
  <c r="D13" i="5"/>
  <c r="D15" i="5" s="1"/>
  <c r="D19" i="5" s="1"/>
  <c r="E11" i="5"/>
  <c r="E13" i="5" l="1"/>
  <c r="E15" i="5" s="1"/>
  <c r="E19" i="5" s="1"/>
  <c r="F11" i="5"/>
  <c r="B33" i="6"/>
  <c r="J11" i="1" s="1"/>
  <c r="F8" i="5"/>
  <c r="F13" i="5" l="1"/>
  <c r="B41" i="6" s="1"/>
  <c r="B39" i="6"/>
  <c r="B36" i="6"/>
  <c r="F15" i="5" l="1"/>
  <c r="F19" i="5" s="1"/>
  <c r="D46" i="1"/>
  <c r="G23" i="3" s="1"/>
  <c r="B43" i="6" l="1"/>
  <c r="F16" i="2"/>
  <c r="F20" i="2" s="1"/>
  <c r="F22" i="2" s="1"/>
  <c r="F24" i="2" s="1"/>
  <c r="G25" i="3"/>
  <c r="G27" i="3" s="1"/>
  <c r="H23" i="3"/>
  <c r="I23" i="3"/>
  <c r="J23" i="3"/>
  <c r="G16" i="2" l="1"/>
  <c r="G20" i="2" s="1"/>
  <c r="G22" i="2" s="1"/>
  <c r="H25" i="3"/>
  <c r="H27" i="3" s="1"/>
  <c r="C20" i="6"/>
  <c r="C22" i="6" s="1"/>
  <c r="C24" i="6" s="1"/>
  <c r="I16" i="2"/>
  <c r="I20" i="2" s="1"/>
  <c r="I22" i="2" s="1"/>
  <c r="J25" i="3"/>
  <c r="J27" i="3" s="1"/>
  <c r="G29" i="3"/>
  <c r="H16" i="2"/>
  <c r="H20" i="2" s="1"/>
  <c r="H22" i="2" s="1"/>
  <c r="I25" i="3"/>
  <c r="I27" i="3" s="1"/>
  <c r="F4" i="7"/>
  <c r="G6" i="2"/>
  <c r="G5" i="5"/>
  <c r="G8" i="5" s="1"/>
  <c r="G24" i="2" l="1"/>
  <c r="H6" i="2" s="1"/>
  <c r="H24" i="2" s="1"/>
  <c r="G11" i="5"/>
  <c r="K13" i="1"/>
  <c r="G31" i="3"/>
  <c r="G33" i="3" s="1"/>
  <c r="G17" i="5" s="1"/>
  <c r="H29" i="3"/>
  <c r="H31" i="3" s="1"/>
  <c r="I29" i="3"/>
  <c r="I31" i="3" s="1"/>
  <c r="J29" i="3"/>
  <c r="J31" i="3" s="1"/>
  <c r="G4" i="7" l="1"/>
  <c r="H5" i="5"/>
  <c r="H8" i="5" s="1"/>
  <c r="C26" i="6"/>
  <c r="C28" i="6" s="1"/>
  <c r="I6" i="2"/>
  <c r="I24" i="2" s="1"/>
  <c r="K9" i="1" s="1"/>
  <c r="H4" i="7"/>
  <c r="I5" i="5"/>
  <c r="I8" i="5" s="1"/>
  <c r="M17" i="2"/>
  <c r="K17" i="2"/>
  <c r="L17" i="2"/>
  <c r="H33" i="3"/>
  <c r="H17" i="5" s="1"/>
  <c r="H11" i="5"/>
  <c r="G13" i="5"/>
  <c r="G15" i="5" s="1"/>
  <c r="G19" i="5" s="1"/>
  <c r="J17" i="2"/>
  <c r="I33" i="3" l="1"/>
  <c r="I11" i="5"/>
  <c r="H13" i="5"/>
  <c r="H15" i="5" s="1"/>
  <c r="H19" i="5" s="1"/>
  <c r="I4" i="7"/>
  <c r="J5" i="5"/>
  <c r="J6" i="2"/>
  <c r="J11" i="5" l="1"/>
  <c r="I13" i="5"/>
  <c r="I15" i="5" s="1"/>
  <c r="J8" i="5"/>
  <c r="C33" i="6"/>
  <c r="K11" i="1" s="1"/>
  <c r="I17" i="5"/>
  <c r="J33" i="3"/>
  <c r="J17" i="5" s="1"/>
  <c r="C45" i="6" s="1"/>
  <c r="I19" i="5" l="1"/>
  <c r="C36" i="6"/>
  <c r="J13" i="5"/>
  <c r="C41" i="6" s="1"/>
  <c r="C39" i="6"/>
  <c r="J15" i="5" l="1"/>
  <c r="J19" i="5" l="1"/>
  <c r="C43" i="6"/>
  <c r="E46" i="1"/>
  <c r="L23" i="3" s="1"/>
  <c r="N23" i="3" l="1"/>
  <c r="M16" i="2" s="1"/>
  <c r="M20" i="2" s="1"/>
  <c r="M22" i="2" s="1"/>
  <c r="K23" i="3"/>
  <c r="J16" i="2" s="1"/>
  <c r="J20" i="2" s="1"/>
  <c r="J22" i="2" s="1"/>
  <c r="J24" i="2" s="1"/>
  <c r="K16" i="2"/>
  <c r="K20" i="2" s="1"/>
  <c r="K22" i="2" s="1"/>
  <c r="L25" i="3"/>
  <c r="L27" i="3" s="1"/>
  <c r="M23" i="3"/>
  <c r="K25" i="3" l="1"/>
  <c r="K27" i="3" s="1"/>
  <c r="K29" i="3" s="1"/>
  <c r="K31" i="3" s="1"/>
  <c r="K33" i="3" s="1"/>
  <c r="K17" i="5" s="1"/>
  <c r="N25" i="3"/>
  <c r="N27" i="3" s="1"/>
  <c r="N29" i="3" s="1"/>
  <c r="N31" i="3" s="1"/>
  <c r="L16" i="2"/>
  <c r="L20" i="2" s="1"/>
  <c r="L22" i="2" s="1"/>
  <c r="M25" i="3"/>
  <c r="M27" i="3" s="1"/>
  <c r="J4" i="7"/>
  <c r="K6" i="2"/>
  <c r="K24" i="2" s="1"/>
  <c r="K5" i="5"/>
  <c r="K8" i="5" s="1"/>
  <c r="D20" i="6"/>
  <c r="D22" i="6" s="1"/>
  <c r="D24" i="6" s="1"/>
  <c r="L29" i="3"/>
  <c r="L31" i="3" s="1"/>
  <c r="L33" i="3" l="1"/>
  <c r="L17" i="5" s="1"/>
  <c r="K4" i="7"/>
  <c r="L6" i="2"/>
  <c r="L24" i="2" s="1"/>
  <c r="L5" i="5"/>
  <c r="L8" i="5" s="1"/>
  <c r="K11" i="5"/>
  <c r="L13" i="1"/>
  <c r="M29" i="3"/>
  <c r="P17" i="2" s="1"/>
  <c r="O17" i="2" l="1"/>
  <c r="M31" i="3"/>
  <c r="M33" i="3" s="1"/>
  <c r="N33" i="3" s="1"/>
  <c r="N17" i="5" s="1"/>
  <c r="D45" i="6" s="1"/>
  <c r="N17" i="2"/>
  <c r="D26" i="6"/>
  <c r="D28" i="6" s="1"/>
  <c r="M5" i="5"/>
  <c r="M8" i="5" s="1"/>
  <c r="L4" i="7"/>
  <c r="M6" i="2"/>
  <c r="M24" i="2" s="1"/>
  <c r="L9" i="1" s="1"/>
  <c r="L11" i="5"/>
  <c r="K13" i="5"/>
  <c r="K15" i="5" s="1"/>
  <c r="K19" i="5" s="1"/>
  <c r="Q17" i="2"/>
  <c r="M17" i="5" l="1"/>
  <c r="N6" i="2"/>
  <c r="M4" i="7"/>
  <c r="N5" i="5"/>
  <c r="L13" i="5"/>
  <c r="L15" i="5" s="1"/>
  <c r="L19" i="5" s="1"/>
  <c r="M11" i="5"/>
  <c r="N8" i="5" l="1"/>
  <c r="D33" i="6"/>
  <c r="L11" i="1" s="1"/>
  <c r="M13" i="5"/>
  <c r="M15" i="5" s="1"/>
  <c r="M19" i="5" s="1"/>
  <c r="N11" i="5"/>
  <c r="N13" i="5" l="1"/>
  <c r="D41" i="6" s="1"/>
  <c r="D39" i="6"/>
  <c r="D36" i="6"/>
  <c r="N15" i="5" l="1"/>
  <c r="N19" i="5" s="1"/>
  <c r="F46" i="1"/>
  <c r="P23" i="3" s="1"/>
  <c r="D43" i="6" l="1"/>
  <c r="O23" i="3"/>
  <c r="O25" i="3" s="1"/>
  <c r="O27" i="3" s="1"/>
  <c r="O29" i="3" s="1"/>
  <c r="O31" i="3" s="1"/>
  <c r="O33" i="3" s="1"/>
  <c r="O17" i="5" s="1"/>
  <c r="R23" i="3"/>
  <c r="R25" i="3" s="1"/>
  <c r="R27" i="3" s="1"/>
  <c r="R29" i="3" s="1"/>
  <c r="R31" i="3" s="1"/>
  <c r="Q23" i="3"/>
  <c r="P16" i="2" s="1"/>
  <c r="P20" i="2" s="1"/>
  <c r="P22" i="2" s="1"/>
  <c r="O16" i="2"/>
  <c r="O20" i="2" s="1"/>
  <c r="O22" i="2" s="1"/>
  <c r="P25" i="3"/>
  <c r="P27" i="3" s="1"/>
  <c r="N16" i="2"/>
  <c r="N20" i="2" s="1"/>
  <c r="N22" i="2" s="1"/>
  <c r="N24" i="2" s="1"/>
  <c r="Q16" i="2"/>
  <c r="Q20" i="2" s="1"/>
  <c r="Q22" i="2" s="1"/>
  <c r="Q25" i="3" l="1"/>
  <c r="Q27" i="3" s="1"/>
  <c r="Q29" i="3" s="1"/>
  <c r="Q31" i="3" s="1"/>
  <c r="E20" i="6"/>
  <c r="E22" i="6" s="1"/>
  <c r="E24" i="6" s="1"/>
  <c r="M13" i="1" s="1"/>
  <c r="N4" i="7"/>
  <c r="O5" i="5"/>
  <c r="O8" i="5" s="1"/>
  <c r="O6" i="2"/>
  <c r="O24" i="2" s="1"/>
  <c r="P29" i="3"/>
  <c r="O11" i="5"/>
  <c r="E26" i="6" l="1"/>
  <c r="E28" i="6" s="1"/>
  <c r="P31" i="3"/>
  <c r="P33" i="3" s="1"/>
  <c r="P17" i="5" s="1"/>
  <c r="P11" i="5"/>
  <c r="O13" i="5"/>
  <c r="O15" i="5" s="1"/>
  <c r="O19" i="5" s="1"/>
  <c r="P5" i="5"/>
  <c r="P8" i="5" s="1"/>
  <c r="P6" i="2"/>
  <c r="P24" i="2" s="1"/>
  <c r="O4" i="7"/>
  <c r="Q33" i="3" l="1"/>
  <c r="Q17" i="5" s="1"/>
  <c r="P13" i="5"/>
  <c r="P15" i="5" s="1"/>
  <c r="P19" i="5" s="1"/>
  <c r="Q11" i="5"/>
  <c r="P4" i="7"/>
  <c r="Q5" i="5"/>
  <c r="Q8" i="5" s="1"/>
  <c r="Q6" i="2"/>
  <c r="Q24" i="2" s="1"/>
  <c r="M9" i="1" s="1"/>
  <c r="R33" i="3" l="1"/>
  <c r="R17" i="5" s="1"/>
  <c r="E45" i="6" s="1"/>
  <c r="R11" i="5"/>
  <c r="Q13" i="5"/>
  <c r="Q15" i="5" s="1"/>
  <c r="Q19" i="5" s="1"/>
  <c r="Q4" i="7"/>
  <c r="R5" i="5"/>
  <c r="R13" i="5" l="1"/>
  <c r="E41" i="6" s="1"/>
  <c r="E39" i="6"/>
  <c r="E33" i="6"/>
  <c r="M11" i="1" s="1"/>
  <c r="R8" i="5"/>
  <c r="E36" i="6" l="1"/>
  <c r="R15" i="5"/>
  <c r="R19" i="5" l="1"/>
  <c r="E43" i="6"/>
</calcChain>
</file>

<file path=xl/sharedStrings.xml><?xml version="1.0" encoding="utf-8"?>
<sst xmlns="http://schemas.openxmlformats.org/spreadsheetml/2006/main" count="311" uniqueCount="166">
  <si>
    <t>Sale Price</t>
  </si>
  <si>
    <t>Cost Product</t>
  </si>
  <si>
    <t>Freight Cost</t>
  </si>
  <si>
    <t>FBA Cost</t>
  </si>
  <si>
    <t>Amazon Commission</t>
  </si>
  <si>
    <t>Advertising</t>
  </si>
  <si>
    <t>% generated from PPC</t>
  </si>
  <si>
    <t>Conversion Rate</t>
  </si>
  <si>
    <t>PPC Cost</t>
  </si>
  <si>
    <t>Quarter 1</t>
  </si>
  <si>
    <t>Quarter 2</t>
  </si>
  <si>
    <t>Quarter 3</t>
  </si>
  <si>
    <t>Quarter 4</t>
  </si>
  <si>
    <t>Seasonality</t>
  </si>
  <si>
    <t>Tax Rate</t>
  </si>
  <si>
    <t>Q1</t>
  </si>
  <si>
    <t>Q2</t>
  </si>
  <si>
    <t>Q3</t>
  </si>
  <si>
    <t>Q4</t>
  </si>
  <si>
    <t>Year 1</t>
  </si>
  <si>
    <t>Year 2</t>
  </si>
  <si>
    <t>Year 3</t>
  </si>
  <si>
    <t>Year 4</t>
  </si>
  <si>
    <t>Daily Sales Per Product</t>
  </si>
  <si>
    <t>Sales Units</t>
  </si>
  <si>
    <t>Annual Units</t>
  </si>
  <si>
    <t>Total Sales</t>
  </si>
  <si>
    <t>Cost of Goods Sold</t>
  </si>
  <si>
    <t>Cost of Sales - Products</t>
  </si>
  <si>
    <t>Cost of Sales - Freight</t>
  </si>
  <si>
    <t>FBA</t>
  </si>
  <si>
    <t>Total Cost of Goods</t>
  </si>
  <si>
    <t>Gross Profit</t>
  </si>
  <si>
    <t>Gross Profit %</t>
  </si>
  <si>
    <t>Expenses</t>
  </si>
  <si>
    <t>Owners Salary</t>
  </si>
  <si>
    <t>Other Expenses</t>
  </si>
  <si>
    <t>Total Expenses</t>
  </si>
  <si>
    <t>Profit</t>
  </si>
  <si>
    <t>Less Tax</t>
  </si>
  <si>
    <t>Profit After Tax</t>
  </si>
  <si>
    <t>Retained Earnings</t>
  </si>
  <si>
    <t>Inventory Timing</t>
  </si>
  <si>
    <t>Product Deposit</t>
  </si>
  <si>
    <t>Final Payment</t>
  </si>
  <si>
    <t>Days from Order</t>
  </si>
  <si>
    <t>Cumulative Days</t>
  </si>
  <si>
    <t>Cumulative Cost</t>
  </si>
  <si>
    <t>Average Order Period /2</t>
  </si>
  <si>
    <t>Opening Cash</t>
  </si>
  <si>
    <t>Sales Revenue</t>
  </si>
  <si>
    <t>Inflows</t>
  </si>
  <si>
    <t>Outflows</t>
  </si>
  <si>
    <t>FBA Fees</t>
  </si>
  <si>
    <t>Purchases</t>
  </si>
  <si>
    <t>Total Outflows</t>
  </si>
  <si>
    <t>Net</t>
  </si>
  <si>
    <t>Closing Cash</t>
  </si>
  <si>
    <t>Income Tax</t>
  </si>
  <si>
    <t>Cash</t>
  </si>
  <si>
    <t>Inventory</t>
  </si>
  <si>
    <t>Total Assets</t>
  </si>
  <si>
    <t>Liabilities</t>
  </si>
  <si>
    <t>Total Liabilities</t>
  </si>
  <si>
    <t>Net Assets</t>
  </si>
  <si>
    <t>Equity</t>
  </si>
  <si>
    <t>Loan</t>
  </si>
  <si>
    <t>Opening</t>
  </si>
  <si>
    <t>Opening Inventory</t>
  </si>
  <si>
    <t>Closing Inventory</t>
  </si>
  <si>
    <t>Inventory Days</t>
  </si>
  <si>
    <t>Assets</t>
  </si>
  <si>
    <t>Units</t>
  </si>
  <si>
    <t>Sales Increase</t>
  </si>
  <si>
    <t>Y2 Q1</t>
  </si>
  <si>
    <t>Y2 Q2</t>
  </si>
  <si>
    <t>Y2 Q3</t>
  </si>
  <si>
    <t>Y2 Q4</t>
  </si>
  <si>
    <t>Y1 Q1</t>
  </si>
  <si>
    <t>Y1 Q2</t>
  </si>
  <si>
    <t>Y1 Q3</t>
  </si>
  <si>
    <t>Y1 Q4</t>
  </si>
  <si>
    <t>Y3 Q1</t>
  </si>
  <si>
    <t>Y3 Q2</t>
  </si>
  <si>
    <t>Y3 Q3</t>
  </si>
  <si>
    <t>Y3 Q4</t>
  </si>
  <si>
    <t>Y4 Q1</t>
  </si>
  <si>
    <t>Y4 Q2</t>
  </si>
  <si>
    <t>Y4 Q3</t>
  </si>
  <si>
    <t>Y4 Q4</t>
  </si>
  <si>
    <t>Sales</t>
  </si>
  <si>
    <t>Base</t>
  </si>
  <si>
    <t>Increase</t>
  </si>
  <si>
    <t>Increase Seasonality of 12</t>
  </si>
  <si>
    <t>Sales - Units</t>
  </si>
  <si>
    <t>Total Quarterly Sales</t>
  </si>
  <si>
    <t>Cost Of Goods</t>
  </si>
  <si>
    <t>Sales Data</t>
  </si>
  <si>
    <t>Variable Expenses (% of Sales)</t>
  </si>
  <si>
    <t>Variable Expenses</t>
  </si>
  <si>
    <t>Number of Products</t>
  </si>
  <si>
    <t>Dashboard</t>
  </si>
  <si>
    <t>Cash at End of Year</t>
  </si>
  <si>
    <t>Cash - Minimum in Year</t>
  </si>
  <si>
    <t>Gross Profit Rate</t>
  </si>
  <si>
    <r>
      <t xml:space="preserve">Assumptions - </t>
    </r>
    <r>
      <rPr>
        <sz val="12"/>
        <color theme="1"/>
        <rFont val="Arial Narrow"/>
        <family val="2"/>
      </rPr>
      <t>Yellow Fields Input</t>
    </r>
  </si>
  <si>
    <t>Freight to Amazon</t>
  </si>
  <si>
    <t>Cost per Unit</t>
  </si>
  <si>
    <t>Timing</t>
  </si>
  <si>
    <t>Freight Cost from manufacturer to Amazon</t>
  </si>
  <si>
    <t>Per Unit Cost</t>
  </si>
  <si>
    <t>Amount paid to Manufacturer</t>
  </si>
  <si>
    <t>% of sales generated from Amazon PPC</t>
  </si>
  <si>
    <t>Your Conversion Rate from PPC</t>
  </si>
  <si>
    <t>Bid Cost</t>
  </si>
  <si>
    <t>Other Variable Expenses - Forex fees etc</t>
  </si>
  <si>
    <t>Estimate of other expenses ( wages, subscriptions, accountancy, travel</t>
  </si>
  <si>
    <t>Average Sale Price</t>
  </si>
  <si>
    <t>Base (Current)</t>
  </si>
  <si>
    <t>Budgeted Profit &amp; Loss</t>
  </si>
  <si>
    <t>Budgeted Balance Sheet</t>
  </si>
  <si>
    <t>Profit &amp; Loss Budget by Quarter</t>
  </si>
  <si>
    <t>Opening Balances</t>
  </si>
  <si>
    <t>Inventory on Hand</t>
  </si>
  <si>
    <t>Inventory Working Capital Requirements</t>
  </si>
  <si>
    <t>Projected Balance Sheet by Quarter</t>
  </si>
  <si>
    <t>Year 0</t>
  </si>
  <si>
    <t>Amazon Cashflow &amp; Profit Forecast</t>
  </si>
  <si>
    <t>Gross Profit Per Unit</t>
  </si>
  <si>
    <t>Available Capital To Invest</t>
  </si>
  <si>
    <t>www.dolmanbateman.com.au/amazon</t>
  </si>
  <si>
    <t>Cashflow Forecast</t>
  </si>
  <si>
    <t>Amazon Warehouse Distribution  Ready for Sale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</si>
  <si>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</si>
  <si>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</si>
  <si>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</si>
  <si>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</si>
  <si>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</si>
  <si>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</si>
  <si>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</si>
  <si>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</si>
  <si>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</si>
  <si>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</si>
  <si>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</si>
  <si>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Product 12</t>
  </si>
  <si>
    <t>Product 13</t>
  </si>
  <si>
    <t>Product 14</t>
  </si>
  <si>
    <t>Product 15</t>
  </si>
  <si>
    <t>Product 16</t>
  </si>
  <si>
    <t>Product 17</t>
  </si>
  <si>
    <t>Product 18</t>
  </si>
  <si>
    <t>Product 19</t>
  </si>
  <si>
    <t>Product 20</t>
  </si>
  <si>
    <t>Product</t>
  </si>
  <si>
    <t>Freight</t>
  </si>
  <si>
    <t>Units Sold</t>
  </si>
  <si>
    <t>Product Description</t>
  </si>
  <si>
    <t>Total Costs</t>
  </si>
  <si>
    <t>Weighted Average</t>
  </si>
  <si>
    <t>Sales Price</t>
  </si>
  <si>
    <t>Product Cost</t>
  </si>
  <si>
    <t>Costs per Unit</t>
  </si>
  <si>
    <t>Price per Unit</t>
  </si>
  <si>
    <t>Total Units Sold</t>
  </si>
  <si>
    <t>Total</t>
  </si>
  <si>
    <t>Tax Rate Applicable (AU Company tax rate = 25%)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</si>
</sst>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sz val="18"/>
      <color theme="1"/>
      <name val="Arial Narrow"/>
      <family val="2"/>
    </font>
    <font>
      <b/>
      <sz val="18"/>
      <color theme="1"/>
      <name val="Arial Narrow"/>
      <family val="2"/>
    </font>
    <font>
      <i/>
      <sz val="11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94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4" fontId="4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44" fontId="3" fillId="2" borderId="0" xfId="2" applyFont="1" applyFill="1"/>
    <xf numFmtId="164" fontId="3" fillId="0" borderId="0" xfId="1" applyNumberFormat="1" applyFont="1"/>
    <xf numFmtId="166" fontId="3" fillId="0" borderId="0" xfId="1" applyNumberFormat="1" applyFont="1"/>
    <xf numFmtId="0" fontId="3" fillId="2" borderId="0" xfId="0" applyFont="1" applyFill="1"/>
    <xf numFmtId="164" fontId="3" fillId="2" borderId="0" xfId="1" applyNumberFormat="1" applyFont="1" applyFill="1"/>
    <xf numFmtId="0" fontId="3" fillId="0" borderId="0" xfId="0" applyFont="1" applyAlignment="1">
      <alignment horizontal="left"/>
    </xf>
    <xf numFmtId="9" fontId="3" fillId="0" borderId="0" xfId="0" applyNumberFormat="1" applyFont="1"/>
    <xf numFmtId="9" fontId="3" fillId="2" borderId="0" xfId="0" applyNumberFormat="1" applyFont="1" applyFill="1"/>
    <xf numFmtId="164" fontId="3" fillId="0" borderId="0" xfId="0" applyNumberFormat="1" applyFont="1"/>
    <xf numFmtId="0" fontId="3" fillId="0" borderId="0" xfId="0" applyFont="1" applyAlignment="1">
      <alignment horizontal="left" indent="1"/>
    </xf>
    <xf numFmtId="44" fontId="3" fillId="0" borderId="0" xfId="2" applyFont="1"/>
    <xf numFmtId="44" fontId="3" fillId="0" borderId="0" xfId="0" applyNumberFormat="1" applyFont="1"/>
    <xf numFmtId="10" fontId="3" fillId="2" borderId="0" xfId="0" applyNumberFormat="1" applyFont="1" applyFill="1"/>
    <xf numFmtId="0" fontId="6" fillId="0" borderId="0" xfId="0" applyFont="1"/>
    <xf numFmtId="0" fontId="3" fillId="0" borderId="0" xfId="0" applyFont="1" applyAlignment="1">
      <alignment horizontal="center"/>
    </xf>
    <xf numFmtId="165" fontId="3" fillId="0" borderId="0" xfId="2" applyNumberFormat="1" applyFont="1"/>
    <xf numFmtId="164" fontId="8" fillId="0" borderId="0" xfId="1" applyNumberFormat="1" applyFont="1"/>
    <xf numFmtId="164" fontId="3" fillId="0" borderId="1" xfId="1" applyNumberFormat="1" applyFont="1" applyBorder="1"/>
    <xf numFmtId="165" fontId="3" fillId="0" borderId="1" xfId="0" applyNumberFormat="1" applyFont="1" applyBorder="1"/>
    <xf numFmtId="9" fontId="3" fillId="0" borderId="0" xfId="3" applyFont="1"/>
    <xf numFmtId="164" fontId="3" fillId="0" borderId="1" xfId="0" applyNumberFormat="1" applyFont="1" applyBorder="1"/>
    <xf numFmtId="165" fontId="3" fillId="0" borderId="0" xfId="0" applyNumberFormat="1" applyFont="1"/>
    <xf numFmtId="165" fontId="3" fillId="0" borderId="2" xfId="0" applyNumberFormat="1" applyFont="1" applyBorder="1"/>
    <xf numFmtId="164" fontId="3" fillId="0" borderId="2" xfId="1" applyNumberFormat="1" applyFont="1" applyBorder="1"/>
    <xf numFmtId="164" fontId="3" fillId="0" borderId="4" xfId="1" applyNumberFormat="1" applyFont="1" applyBorder="1"/>
    <xf numFmtId="0" fontId="3" fillId="0" borderId="0" xfId="0" applyFont="1" applyAlignment="1">
      <alignment horizontal="center" wrapText="1"/>
    </xf>
    <xf numFmtId="164" fontId="4" fillId="0" borderId="0" xfId="1" applyNumberFormat="1" applyFont="1"/>
    <xf numFmtId="0" fontId="9" fillId="0" borderId="0" xfId="0" applyFont="1"/>
    <xf numFmtId="165" fontId="4" fillId="0" borderId="0" xfId="2" applyNumberFormat="1" applyFont="1"/>
    <xf numFmtId="165" fontId="4" fillId="0" borderId="1" xfId="0" applyNumberFormat="1" applyFont="1" applyBorder="1"/>
    <xf numFmtId="0" fontId="4" fillId="0" borderId="6" xfId="0" applyFont="1" applyBorder="1" applyAlignment="1">
      <alignment horizontal="center"/>
    </xf>
    <xf numFmtId="0" fontId="3" fillId="0" borderId="6" xfId="0" applyFont="1" applyBorder="1"/>
    <xf numFmtId="164" fontId="8" fillId="0" borderId="6" xfId="1" applyNumberFormat="1" applyFont="1" applyBorder="1"/>
    <xf numFmtId="165" fontId="3" fillId="0" borderId="6" xfId="2" applyNumberFormat="1" applyFont="1" applyBorder="1"/>
    <xf numFmtId="164" fontId="3" fillId="0" borderId="6" xfId="1" applyNumberFormat="1" applyFont="1" applyBorder="1"/>
    <xf numFmtId="164" fontId="3" fillId="0" borderId="7" xfId="1" applyNumberFormat="1" applyFont="1" applyBorder="1"/>
    <xf numFmtId="0" fontId="4" fillId="0" borderId="0" xfId="0" applyFont="1" applyAlignment="1">
      <alignment horizontal="left"/>
    </xf>
    <xf numFmtId="165" fontId="3" fillId="0" borderId="7" xfId="0" applyNumberFormat="1" applyFont="1" applyBorder="1"/>
    <xf numFmtId="9" fontId="3" fillId="0" borderId="6" xfId="3" applyFont="1" applyBorder="1"/>
    <xf numFmtId="164" fontId="3" fillId="0" borderId="7" xfId="0" applyNumberFormat="1" applyFont="1" applyBorder="1"/>
    <xf numFmtId="165" fontId="3" fillId="0" borderId="6" xfId="0" applyNumberFormat="1" applyFont="1" applyBorder="1"/>
    <xf numFmtId="165" fontId="3" fillId="0" borderId="8" xfId="0" applyNumberFormat="1" applyFont="1" applyBorder="1"/>
    <xf numFmtId="165" fontId="3" fillId="0" borderId="3" xfId="0" applyNumberFormat="1" applyFont="1" applyBorder="1"/>
    <xf numFmtId="164" fontId="3" fillId="0" borderId="2" xfId="0" applyNumberFormat="1" applyFont="1" applyBorder="1"/>
    <xf numFmtId="165" fontId="3" fillId="2" borderId="0" xfId="2" applyNumberFormat="1" applyFont="1" applyFill="1"/>
    <xf numFmtId="164" fontId="3" fillId="0" borderId="8" xfId="1" applyNumberFormat="1" applyFont="1" applyBorder="1"/>
    <xf numFmtId="0" fontId="10" fillId="0" borderId="0" xfId="0" applyFont="1"/>
    <xf numFmtId="9" fontId="3" fillId="0" borderId="0" xfId="0" applyNumberFormat="1" applyFont="1" applyFill="1"/>
    <xf numFmtId="164" fontId="3" fillId="0" borderId="0" xfId="1" applyNumberFormat="1" applyFont="1" applyFill="1"/>
    <xf numFmtId="0" fontId="3" fillId="0" borderId="0" xfId="0" applyFont="1" applyAlignment="1">
      <alignment horizontal="center"/>
    </xf>
    <xf numFmtId="0" fontId="11" fillId="0" borderId="0" xfId="4"/>
    <xf numFmtId="166" fontId="3" fillId="0" borderId="0" xfId="1" applyNumberFormat="1" applyFont="1" applyFill="1"/>
    <xf numFmtId="166" fontId="3" fillId="0" borderId="6" xfId="1" applyNumberFormat="1" applyFont="1" applyBorder="1"/>
    <xf numFmtId="164" fontId="3" fillId="0" borderId="5" xfId="1" applyNumberFormat="1" applyFont="1" applyBorder="1"/>
    <xf numFmtId="0" fontId="3" fillId="0" borderId="6" xfId="0" applyFont="1" applyBorder="1" applyAlignment="1">
      <alignment horizontal="center"/>
    </xf>
    <xf numFmtId="166" fontId="3" fillId="0" borderId="2" xfId="1" applyNumberFormat="1" applyFont="1" applyBorder="1"/>
    <xf numFmtId="166" fontId="3" fillId="0" borderId="8" xfId="1" applyNumberFormat="1" applyFont="1" applyBorder="1"/>
    <xf numFmtId="0" fontId="0" fillId="0" borderId="0" xfId="0" applyAlignment="1">
      <alignment horizontal="center" wrapText="1"/>
    </xf>
    <xf numFmtId="0" fontId="0" fillId="2" borderId="0" xfId="0" applyFill="1"/>
    <xf numFmtId="44" fontId="0" fillId="0" borderId="0" xfId="2" applyFont="1"/>
    <xf numFmtId="165" fontId="0" fillId="0" borderId="0" xfId="2" applyNumberFormat="1" applyFont="1"/>
    <xf numFmtId="44" fontId="0" fillId="2" borderId="0" xfId="2" applyFont="1" applyFill="1"/>
    <xf numFmtId="165" fontId="0" fillId="0" borderId="0" xfId="0" applyNumberFormat="1"/>
    <xf numFmtId="0" fontId="7" fillId="0" borderId="9" xfId="0" applyFont="1" applyBorder="1"/>
    <xf numFmtId="44" fontId="4" fillId="0" borderId="10" xfId="2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0" xfId="0" applyFont="1" applyBorder="1"/>
    <xf numFmtId="0" fontId="3" fillId="0" borderId="13" xfId="0" applyFont="1" applyBorder="1"/>
    <xf numFmtId="0" fontId="4" fillId="0" borderId="12" xfId="0" applyFont="1" applyBorder="1"/>
    <xf numFmtId="164" fontId="4" fillId="0" borderId="0" xfId="1" applyNumberFormat="1" applyFont="1" applyBorder="1"/>
    <xf numFmtId="164" fontId="4" fillId="0" borderId="13" xfId="1" applyNumberFormat="1" applyFont="1" applyBorder="1"/>
    <xf numFmtId="0" fontId="3" fillId="0" borderId="12" xfId="0" applyFont="1" applyBorder="1" applyAlignment="1">
      <alignment horizontal="left"/>
    </xf>
    <xf numFmtId="9" fontId="3" fillId="0" borderId="0" xfId="0" applyNumberFormat="1" applyFont="1" applyBorder="1"/>
    <xf numFmtId="9" fontId="3" fillId="0" borderId="13" xfId="0" applyNumberFormat="1" applyFont="1" applyBorder="1"/>
    <xf numFmtId="166" fontId="4" fillId="0" borderId="0" xfId="1" applyNumberFormat="1" applyFont="1" applyBorder="1"/>
    <xf numFmtId="166" fontId="4" fillId="0" borderId="13" xfId="1" applyNumberFormat="1" applyFont="1" applyBorder="1"/>
    <xf numFmtId="164" fontId="3" fillId="0" borderId="0" xfId="1" applyNumberFormat="1" applyFont="1" applyBorder="1"/>
    <xf numFmtId="164" fontId="3" fillId="0" borderId="13" xfId="1" applyNumberFormat="1" applyFont="1" applyBorder="1"/>
    <xf numFmtId="164" fontId="3" fillId="2" borderId="0" xfId="1" applyNumberFormat="1" applyFont="1" applyFill="1" applyBorder="1"/>
    <xf numFmtId="164" fontId="3" fillId="2" borderId="13" xfId="1" applyNumberFormat="1" applyFont="1" applyFill="1" applyBorder="1"/>
    <xf numFmtId="0" fontId="3" fillId="0" borderId="14" xfId="0" applyFont="1" applyBorder="1"/>
    <xf numFmtId="0" fontId="3" fillId="0" borderId="3" xfId="0" applyFont="1" applyBorder="1"/>
    <xf numFmtId="0" fontId="3" fillId="0" borderId="15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4 Year Profit</a:t>
            </a:r>
            <a:r>
              <a:rPr lang="en-AU" baseline="0"/>
              <a:t> &amp; Cash Forecast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Graphs!$A$3</c:f>
              <c:strCache>
                <c:ptCount val="1"/>
                <c:pt idx="0">
                  <c:v>Profit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Graphs!$B$2:$Q$2</c:f>
              <c:strCache>
                <c:ptCount val="16"/>
                <c:pt idx="0">
                  <c:v>Y1 Q1</c:v>
                </c:pt>
                <c:pt idx="1">
                  <c:v>Y1 Q2</c:v>
                </c:pt>
                <c:pt idx="2">
                  <c:v>Y1 Q3</c:v>
                </c:pt>
                <c:pt idx="3">
                  <c:v>Y1 Q4</c:v>
                </c:pt>
                <c:pt idx="4">
                  <c:v>Y2 Q1</c:v>
                </c:pt>
                <c:pt idx="5">
                  <c:v>Y2 Q2</c:v>
                </c:pt>
                <c:pt idx="6">
                  <c:v>Y2 Q3</c:v>
                </c:pt>
                <c:pt idx="7">
                  <c:v>Y2 Q4</c:v>
                </c:pt>
                <c:pt idx="8">
                  <c:v>Y3 Q1</c:v>
                </c:pt>
                <c:pt idx="9">
                  <c:v>Y3 Q2</c:v>
                </c:pt>
                <c:pt idx="10">
                  <c:v>Y3 Q3</c:v>
                </c:pt>
                <c:pt idx="11">
                  <c:v>Y3 Q4</c:v>
                </c:pt>
                <c:pt idx="12">
                  <c:v>Y4 Q1</c:v>
                </c:pt>
                <c:pt idx="13">
                  <c:v>Y4 Q2</c:v>
                </c:pt>
                <c:pt idx="14">
                  <c:v>Y4 Q3</c:v>
                </c:pt>
                <c:pt idx="15">
                  <c:v>Y4 Q4</c:v>
                </c:pt>
              </c:strCache>
            </c:strRef>
          </c:cat>
          <c:val>
            <c:numRef>
              <c:f>Graphs!$B$3:$Q$3</c:f>
              <c:numCache>
                <c:formatCode>_-* #,##0_-;\-* #,##0_-;_-* "-"??_-;_-@_-</c:formatCode>
                <c:ptCount val="16"/>
                <c:pt idx="0">
                  <c:v>7604.166666666667</c:v>
                </c:pt>
                <c:pt idx="1">
                  <c:v>15200</c:v>
                </c:pt>
                <c:pt idx="2">
                  <c:v>30425</c:v>
                </c:pt>
                <c:pt idx="3">
                  <c:v>38025</c:v>
                </c:pt>
                <c:pt idx="4">
                  <c:v>48675</c:v>
                </c:pt>
                <c:pt idx="5">
                  <c:v>79075</c:v>
                </c:pt>
                <c:pt idx="6">
                  <c:v>139925</c:v>
                </c:pt>
                <c:pt idx="7">
                  <c:v>188575</c:v>
                </c:pt>
                <c:pt idx="8">
                  <c:v>167300</c:v>
                </c:pt>
                <c:pt idx="9">
                  <c:v>243325</c:v>
                </c:pt>
                <c:pt idx="10">
                  <c:v>395425</c:v>
                </c:pt>
                <c:pt idx="11">
                  <c:v>562700</c:v>
                </c:pt>
                <c:pt idx="12">
                  <c:v>463850</c:v>
                </c:pt>
                <c:pt idx="13">
                  <c:v>653950</c:v>
                </c:pt>
                <c:pt idx="14">
                  <c:v>1034175</c:v>
                </c:pt>
                <c:pt idx="15">
                  <c:v>1498025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AB-407E-AF5F-0ADD763D4F12}"/>
            </c:ext>
          </c:extLst>
        </c:ser>
        <c:ser>
          <c:idx val="1"/>
          <c:order val="1"/>
          <c:tx>
            <c:strRef>
              <c:f>Graphs!$A$4</c:f>
              <c:strCache>
                <c:ptCount val="1"/>
                <c:pt idx="0">
                  <c:v>Cash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Graphs!$B$2:$Q$2</c:f>
              <c:strCache>
                <c:ptCount val="16"/>
                <c:pt idx="0">
                  <c:v>Y1 Q1</c:v>
                </c:pt>
                <c:pt idx="1">
                  <c:v>Y1 Q2</c:v>
                </c:pt>
                <c:pt idx="2">
                  <c:v>Y1 Q3</c:v>
                </c:pt>
                <c:pt idx="3">
                  <c:v>Y1 Q4</c:v>
                </c:pt>
                <c:pt idx="4">
                  <c:v>Y2 Q1</c:v>
                </c:pt>
                <c:pt idx="5">
                  <c:v>Y2 Q2</c:v>
                </c:pt>
                <c:pt idx="6">
                  <c:v>Y2 Q3</c:v>
                </c:pt>
                <c:pt idx="7">
                  <c:v>Y2 Q4</c:v>
                </c:pt>
                <c:pt idx="8">
                  <c:v>Y3 Q1</c:v>
                </c:pt>
                <c:pt idx="9">
                  <c:v>Y3 Q2</c:v>
                </c:pt>
                <c:pt idx="10">
                  <c:v>Y3 Q3</c:v>
                </c:pt>
                <c:pt idx="11">
                  <c:v>Y3 Q4</c:v>
                </c:pt>
                <c:pt idx="12">
                  <c:v>Y4 Q1</c:v>
                </c:pt>
                <c:pt idx="13">
                  <c:v>Y4 Q2</c:v>
                </c:pt>
                <c:pt idx="14">
                  <c:v>Y4 Q3</c:v>
                </c:pt>
                <c:pt idx="15">
                  <c:v>Y4 Q4</c:v>
                </c:pt>
              </c:strCache>
            </c:strRef>
          </c:cat>
          <c:val>
            <c:numRef>
              <c:f>Graphs!$B$4:$Q$4</c:f>
              <c:numCache>
                <c:formatCode>_-* #,##0_-;\-* #,##0_-;_-* "-"??_-;_-@_-</c:formatCode>
                <c:ptCount val="16"/>
                <c:pt idx="0">
                  <c:v>7782.345085470085</c:v>
                </c:pt>
                <c:pt idx="1">
                  <c:v>6446.9399572649554</c:v>
                </c:pt>
                <c:pt idx="2">
                  <c:v>13722.569444444445</c:v>
                </c:pt>
                <c:pt idx="3">
                  <c:v>22765.111752136752</c:v>
                </c:pt>
                <c:pt idx="4">
                  <c:v>15773.357652243587</c:v>
                </c:pt>
                <c:pt idx="5">
                  <c:v>9110.7932959401769</c:v>
                </c:pt>
                <c:pt idx="6">
                  <c:v>30116.410990918808</c:v>
                </c:pt>
                <c:pt idx="7">
                  <c:v>95459.923557692324</c:v>
                </c:pt>
                <c:pt idx="8">
                  <c:v>93344.739743589773</c:v>
                </c:pt>
                <c:pt idx="9">
                  <c:v>92080.508493589761</c:v>
                </c:pt>
                <c:pt idx="10">
                  <c:v>143112.60032051284</c:v>
                </c:pt>
                <c:pt idx="11">
                  <c:v>356082.24727564101</c:v>
                </c:pt>
                <c:pt idx="12">
                  <c:v>377398.86762820516</c:v>
                </c:pt>
                <c:pt idx="13">
                  <c:v>400880.22131410259</c:v>
                </c:pt>
                <c:pt idx="14">
                  <c:v>538223.63525641011</c:v>
                </c:pt>
                <c:pt idx="15">
                  <c:v>1194674.6671474357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AB-407E-AF5F-0ADD763D4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292448"/>
        <c:axId val="436292120"/>
      </c:lineChart>
      <c:catAx>
        <c:axId val="43629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292120"/>
        <c:crosses val="autoZero"/>
        <c:auto val="1"/>
        <c:lblAlgn val="ctr"/>
        <c:lblOffset val="100"/>
        <c:noMultiLvlLbl val="0"/>
      </c:catAx>
      <c:valAx>
        <c:axId val="436292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29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31751</xdr:colOff>
      <xdr:row>17</xdr:row>
      <xdr:rowOff>101600</xdr:rowOff>
    </xdr:from>
    <xdr:to>
      <xdr:col>12</xdr:col>
      <xdr:colOff>819150</xdr:colOff>
      <xdr:row>30</xdr:row>
      <xdr:rowOff>82550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AE53B0-CAA4-44B3-B288-8B932B551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7938</xdr:colOff>
      <xdr:row>0</xdr:row>
      <xdr:rowOff>111125</xdr:rowOff>
    </xdr:from>
    <xdr:to>
      <xdr:col>10</xdr:col>
      <xdr:colOff>227013</xdr:colOff>
      <xdr:row>1</xdr:row>
      <xdr:rowOff>41275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988ABA-749C-43B7-91DD-182334FD3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6688" y="111125"/>
          <a:ext cx="2663825" cy="21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olmanbateman.com.au/amazo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showGridLines="0" tabSelected="1" zoomScale="120" zoomScaleNormal="120" workbookViewId="0">
      <selection activeCell="F5" sqref="F5"/>
    </sheetView>
  </sheetViews>
  <sheetFormatPr defaultColWidth="8.7109375" defaultRowHeight="16.5" x14ac:dyDescent="0.3"/>
  <cols>
    <col min="1" max="1" width="26.85546875" style="3" customWidth="1"/>
    <col min="2" max="2" width="12.85546875" style="3" customWidth="1"/>
    <col min="3" max="5" width="10.140625" style="3" bestFit="1" customWidth="1"/>
    <col min="6" max="6" width="10.140625" style="3" customWidth="1"/>
    <col min="7" max="8" width="8.7109375" style="3"/>
    <col min="9" max="9" width="24.5703125" style="3" customWidth="1"/>
    <col min="10" max="12" width="12.140625" style="3" customWidth="1"/>
    <col min="13" max="13" width="13" style="3" customWidth="1"/>
    <col min="14" max="16384" width="8.7109375" style="3"/>
  </cols>
  <sheetData>
    <row r="1" spans="1:13" ht="22.5" customHeight="1" x14ac:dyDescent="0.3">
      <c r="A1" s="57" t="s">
        <v>130</v>
      </c>
    </row>
    <row r="2" spans="1:13" ht="17.25" thickBot="1" x14ac:dyDescent="0.35"/>
    <row r="3" spans="1:13" ht="23.25" x14ac:dyDescent="0.35">
      <c r="A3" s="34" t="s">
        <v>127</v>
      </c>
      <c r="I3" s="70" t="s">
        <v>101</v>
      </c>
      <c r="J3" s="71" t="s">
        <v>19</v>
      </c>
      <c r="K3" s="72" t="s">
        <v>20</v>
      </c>
      <c r="L3" s="71" t="s">
        <v>21</v>
      </c>
      <c r="M3" s="73" t="s">
        <v>22</v>
      </c>
    </row>
    <row r="4" spans="1:13" x14ac:dyDescent="0.3">
      <c r="I4" s="74"/>
      <c r="J4" s="75"/>
      <c r="K4" s="75"/>
      <c r="L4" s="75"/>
      <c r="M4" s="76"/>
    </row>
    <row r="5" spans="1:13" ht="23.25" x14ac:dyDescent="0.35">
      <c r="A5" s="20" t="s">
        <v>105</v>
      </c>
      <c r="I5" s="77" t="s">
        <v>90</v>
      </c>
      <c r="J5" s="78">
        <f>Annual!B5</f>
        <v>91254.166666666672</v>
      </c>
      <c r="K5" s="78">
        <f>Annual!C5</f>
        <v>456250</v>
      </c>
      <c r="L5" s="78">
        <f>Annual!D5</f>
        <v>1368750</v>
      </c>
      <c r="M5" s="79">
        <f>Annual!E5</f>
        <v>3650000</v>
      </c>
    </row>
    <row r="6" spans="1:13" x14ac:dyDescent="0.3">
      <c r="A6" s="4" t="s">
        <v>97</v>
      </c>
      <c r="I6" s="74"/>
      <c r="J6" s="75"/>
      <c r="K6" s="75"/>
      <c r="L6" s="75"/>
      <c r="M6" s="76"/>
    </row>
    <row r="7" spans="1:13" x14ac:dyDescent="0.3">
      <c r="A7" s="3" t="s">
        <v>0</v>
      </c>
      <c r="C7" s="7">
        <v>25</v>
      </c>
      <c r="D7" s="3" t="s">
        <v>117</v>
      </c>
      <c r="I7" s="80" t="s">
        <v>104</v>
      </c>
      <c r="J7" s="81">
        <f>Annual!B16</f>
        <v>0.38066666666666665</v>
      </c>
      <c r="K7" s="81">
        <f>Annual!C16</f>
        <v>0.38066666666666671</v>
      </c>
      <c r="L7" s="81">
        <f>Annual!D16</f>
        <v>0.38066666666666665</v>
      </c>
      <c r="M7" s="82">
        <f>Annual!E16</f>
        <v>0.38066666666666671</v>
      </c>
    </row>
    <row r="8" spans="1:13" x14ac:dyDescent="0.3">
      <c r="A8" s="3" t="s">
        <v>23</v>
      </c>
      <c r="C8" s="11">
        <v>10</v>
      </c>
      <c r="I8" s="74"/>
      <c r="J8" s="75"/>
      <c r="K8" s="75"/>
      <c r="L8" s="75"/>
      <c r="M8" s="76"/>
    </row>
    <row r="9" spans="1:13" x14ac:dyDescent="0.3">
      <c r="I9" s="77" t="s">
        <v>103</v>
      </c>
      <c r="J9" s="83">
        <f>MIN(Cashflow!B24:E24)</f>
        <v>6446.9399572649554</v>
      </c>
      <c r="K9" s="83">
        <f>MIN(Cashflow!F24:I24)</f>
        <v>9110.7932959401769</v>
      </c>
      <c r="L9" s="83">
        <f>MIN(Cashflow!J24:M24)</f>
        <v>92080.508493589761</v>
      </c>
      <c r="M9" s="84">
        <f>MIN(Cashflow!N24:Q24)</f>
        <v>377398.86762820516</v>
      </c>
    </row>
    <row r="10" spans="1:13" x14ac:dyDescent="0.3">
      <c r="B10" s="6" t="s">
        <v>118</v>
      </c>
      <c r="C10" s="5" t="s">
        <v>19</v>
      </c>
      <c r="D10" s="6" t="s">
        <v>20</v>
      </c>
      <c r="E10" s="5" t="s">
        <v>21</v>
      </c>
      <c r="F10" s="6" t="s">
        <v>22</v>
      </c>
      <c r="I10" s="74"/>
      <c r="J10" s="75"/>
      <c r="K10" s="75"/>
      <c r="L10" s="75"/>
      <c r="M10" s="76"/>
    </row>
    <row r="11" spans="1:13" x14ac:dyDescent="0.3">
      <c r="A11" s="3" t="s">
        <v>100</v>
      </c>
      <c r="C11" s="10">
        <v>1</v>
      </c>
      <c r="D11" s="10">
        <v>5</v>
      </c>
      <c r="E11" s="10">
        <v>15</v>
      </c>
      <c r="F11" s="10">
        <v>40</v>
      </c>
      <c r="I11" s="74" t="s">
        <v>102</v>
      </c>
      <c r="J11" s="85">
        <f>Annual!B33</f>
        <v>22765.111752136752</v>
      </c>
      <c r="K11" s="85">
        <f>Annual!C33</f>
        <v>95459.923557692324</v>
      </c>
      <c r="L11" s="85">
        <f>Annual!D33</f>
        <v>356082.24727564101</v>
      </c>
      <c r="M11" s="86">
        <f>Annual!E33</f>
        <v>1194674.6671474357</v>
      </c>
    </row>
    <row r="12" spans="1:13" x14ac:dyDescent="0.3">
      <c r="A12" s="3" t="s">
        <v>25</v>
      </c>
      <c r="B12" s="11">
        <v>0</v>
      </c>
      <c r="C12" s="11">
        <f>+C11*DailySales*365</f>
        <v>3650</v>
      </c>
      <c r="D12" s="11">
        <f>+D11*DailySales*365</f>
        <v>18250</v>
      </c>
      <c r="E12" s="11">
        <f>+E11*DailySales*365</f>
        <v>54750</v>
      </c>
      <c r="F12" s="11">
        <f>+F11*DailySales*365</f>
        <v>146000</v>
      </c>
      <c r="I12" s="74"/>
      <c r="J12" s="75"/>
      <c r="K12" s="75"/>
      <c r="L12" s="75"/>
      <c r="M12" s="76"/>
    </row>
    <row r="13" spans="1:13" x14ac:dyDescent="0.3">
      <c r="C13" s="6" t="s">
        <v>9</v>
      </c>
      <c r="D13" s="6" t="s">
        <v>10</v>
      </c>
      <c r="E13" s="6" t="s">
        <v>11</v>
      </c>
      <c r="F13" s="6" t="s">
        <v>12</v>
      </c>
      <c r="I13" s="77" t="s">
        <v>38</v>
      </c>
      <c r="J13" s="78">
        <f>Annual!B24</f>
        <v>28737.419444444444</v>
      </c>
      <c r="K13" s="78">
        <f>Annual!C24</f>
        <v>123679.16666666669</v>
      </c>
      <c r="L13" s="78">
        <f>Annual!D24</f>
        <v>401037.5</v>
      </c>
      <c r="M13" s="79">
        <f>Annual!E24</f>
        <v>1149433.3333333335</v>
      </c>
    </row>
    <row r="14" spans="1:13" x14ac:dyDescent="0.3">
      <c r="A14" s="3" t="s">
        <v>13</v>
      </c>
      <c r="C14" s="54">
        <v>0.2</v>
      </c>
      <c r="D14" s="54">
        <v>0.2</v>
      </c>
      <c r="E14" s="54">
        <v>0.2</v>
      </c>
      <c r="F14" s="54">
        <v>0.4</v>
      </c>
      <c r="G14" s="13">
        <f>SUM(C14:F14)</f>
        <v>1</v>
      </c>
      <c r="I14" s="74"/>
      <c r="J14" s="75"/>
      <c r="K14" s="75"/>
      <c r="L14" s="75"/>
      <c r="M14" s="76"/>
    </row>
    <row r="15" spans="1:13" x14ac:dyDescent="0.3">
      <c r="A15" s="3" t="s">
        <v>93</v>
      </c>
      <c r="B15" s="13"/>
      <c r="C15" s="55">
        <v>1</v>
      </c>
      <c r="D15" s="55">
        <v>2</v>
      </c>
      <c r="E15" s="55">
        <v>4</v>
      </c>
      <c r="F15" s="55">
        <v>5</v>
      </c>
      <c r="G15" s="15">
        <f>SUM(C15:F15)</f>
        <v>12</v>
      </c>
      <c r="I15" s="74"/>
      <c r="J15" s="85"/>
      <c r="K15" s="85"/>
      <c r="L15" s="85"/>
      <c r="M15" s="86"/>
    </row>
    <row r="16" spans="1:13" x14ac:dyDescent="0.3">
      <c r="A16" s="3" t="s">
        <v>73</v>
      </c>
      <c r="C16" s="8">
        <f>Y1Units-B12</f>
        <v>3650</v>
      </c>
      <c r="D16" s="8">
        <f>Y2Units-Y1Units</f>
        <v>14600</v>
      </c>
      <c r="E16" s="8">
        <f>Y3Units-Y2Units</f>
        <v>36500</v>
      </c>
      <c r="F16" s="8">
        <f>Y4Units-Y3Units</f>
        <v>91250</v>
      </c>
      <c r="I16" s="74" t="s">
        <v>35</v>
      </c>
      <c r="J16" s="87">
        <f>0</f>
        <v>0</v>
      </c>
      <c r="K16" s="87">
        <v>0</v>
      </c>
      <c r="L16" s="87"/>
      <c r="M16" s="88"/>
    </row>
    <row r="17" spans="1:13" x14ac:dyDescent="0.3">
      <c r="I17" s="74"/>
      <c r="J17" s="75"/>
      <c r="K17" s="75"/>
      <c r="L17" s="75"/>
      <c r="M17" s="76"/>
    </row>
    <row r="18" spans="1:13" x14ac:dyDescent="0.3">
      <c r="I18" s="74"/>
      <c r="J18" s="75"/>
      <c r="K18" s="75"/>
      <c r="L18" s="75"/>
      <c r="M18" s="76"/>
    </row>
    <row r="19" spans="1:13" x14ac:dyDescent="0.3">
      <c r="I19" s="74"/>
      <c r="J19" s="75"/>
      <c r="K19" s="75"/>
      <c r="L19" s="75"/>
      <c r="M19" s="76"/>
    </row>
    <row r="20" spans="1:13" x14ac:dyDescent="0.3">
      <c r="A20" s="4" t="s">
        <v>96</v>
      </c>
      <c r="B20" s="6" t="s">
        <v>110</v>
      </c>
      <c r="I20" s="74"/>
      <c r="J20" s="75"/>
      <c r="K20" s="75"/>
      <c r="L20" s="75"/>
      <c r="M20" s="76"/>
    </row>
    <row r="21" spans="1:13" x14ac:dyDescent="0.3">
      <c r="A21" s="16" t="s">
        <v>1</v>
      </c>
      <c r="B21" s="7">
        <v>5</v>
      </c>
      <c r="C21" s="3" t="s">
        <v>111</v>
      </c>
      <c r="I21" s="74"/>
      <c r="J21" s="75"/>
      <c r="K21" s="75"/>
      <c r="L21" s="75"/>
      <c r="M21" s="76"/>
    </row>
    <row r="22" spans="1:13" x14ac:dyDescent="0.3">
      <c r="A22" s="16" t="s">
        <v>2</v>
      </c>
      <c r="B22" s="7">
        <v>1</v>
      </c>
      <c r="C22" s="3" t="s">
        <v>109</v>
      </c>
      <c r="I22" s="74"/>
      <c r="J22" s="75"/>
      <c r="K22" s="75"/>
      <c r="L22" s="75"/>
      <c r="M22" s="76"/>
    </row>
    <row r="23" spans="1:13" x14ac:dyDescent="0.3">
      <c r="A23" s="16" t="s">
        <v>3</v>
      </c>
      <c r="B23" s="7">
        <v>4.9000000000000004</v>
      </c>
      <c r="I23" s="74"/>
      <c r="J23" s="75"/>
      <c r="K23" s="75"/>
      <c r="L23" s="75"/>
      <c r="M23" s="76"/>
    </row>
    <row r="24" spans="1:13" x14ac:dyDescent="0.3">
      <c r="A24" s="16" t="s">
        <v>4</v>
      </c>
      <c r="B24" s="14">
        <v>0.15</v>
      </c>
      <c r="I24" s="74"/>
      <c r="J24" s="75"/>
      <c r="K24" s="75"/>
      <c r="L24" s="75"/>
      <c r="M24" s="76"/>
    </row>
    <row r="25" spans="1:13" x14ac:dyDescent="0.3">
      <c r="A25" s="16"/>
      <c r="B25" s="13"/>
      <c r="I25" s="74"/>
      <c r="J25" s="75"/>
      <c r="K25" s="75"/>
      <c r="L25" s="75"/>
      <c r="M25" s="76"/>
    </row>
    <row r="26" spans="1:13" x14ac:dyDescent="0.3">
      <c r="A26" s="3" t="s">
        <v>128</v>
      </c>
      <c r="B26" s="17">
        <f>+Price*J7</f>
        <v>9.5166666666666657</v>
      </c>
      <c r="I26" s="74"/>
      <c r="J26" s="75"/>
      <c r="K26" s="75"/>
      <c r="L26" s="75"/>
      <c r="M26" s="76"/>
    </row>
    <row r="27" spans="1:13" ht="33" x14ac:dyDescent="0.3">
      <c r="A27" s="4" t="s">
        <v>42</v>
      </c>
      <c r="B27" s="32" t="s">
        <v>108</v>
      </c>
      <c r="C27" s="32" t="s">
        <v>107</v>
      </c>
      <c r="D27" s="32" t="s">
        <v>45</v>
      </c>
      <c r="E27" s="32" t="s">
        <v>46</v>
      </c>
      <c r="F27" s="32" t="s">
        <v>47</v>
      </c>
      <c r="I27" s="74"/>
      <c r="J27" s="75"/>
      <c r="K27" s="75"/>
      <c r="L27" s="75"/>
      <c r="M27" s="76"/>
    </row>
    <row r="28" spans="1:13" x14ac:dyDescent="0.3">
      <c r="A28" s="3" t="s">
        <v>43</v>
      </c>
      <c r="B28" s="14">
        <v>0.3</v>
      </c>
      <c r="C28" s="17">
        <f>B28*LUC</f>
        <v>1.5</v>
      </c>
      <c r="D28" s="10">
        <v>0</v>
      </c>
      <c r="E28" s="3">
        <f>D28</f>
        <v>0</v>
      </c>
      <c r="F28" s="18">
        <f>C28</f>
        <v>1.5</v>
      </c>
      <c r="I28" s="74"/>
      <c r="J28" s="75"/>
      <c r="K28" s="75"/>
      <c r="L28" s="75"/>
      <c r="M28" s="76"/>
    </row>
    <row r="29" spans="1:13" x14ac:dyDescent="0.3">
      <c r="A29" s="3" t="s">
        <v>44</v>
      </c>
      <c r="B29" s="14">
        <v>0.7</v>
      </c>
      <c r="C29" s="17">
        <f>B29*LUC</f>
        <v>3.5</v>
      </c>
      <c r="D29" s="10">
        <v>28</v>
      </c>
      <c r="E29" s="3">
        <f>E28+D29</f>
        <v>28</v>
      </c>
      <c r="F29" s="18">
        <f>F28+C29</f>
        <v>5</v>
      </c>
      <c r="I29" s="74"/>
      <c r="J29" s="75"/>
      <c r="K29" s="75"/>
      <c r="L29" s="75"/>
      <c r="M29" s="76"/>
    </row>
    <row r="30" spans="1:13" x14ac:dyDescent="0.3">
      <c r="A30" s="3" t="s">
        <v>106</v>
      </c>
      <c r="C30" s="17">
        <f>Freight</f>
        <v>1</v>
      </c>
      <c r="D30" s="10">
        <v>60</v>
      </c>
      <c r="E30" s="3">
        <f t="shared" ref="E30:E32" si="0">E29+D30</f>
        <v>88</v>
      </c>
      <c r="F30" s="18">
        <f>F29+C30</f>
        <v>6</v>
      </c>
      <c r="I30" s="74"/>
      <c r="J30" s="75"/>
      <c r="K30" s="75"/>
      <c r="L30" s="75"/>
      <c r="M30" s="76"/>
    </row>
    <row r="31" spans="1:13" ht="17.25" thickBot="1" x14ac:dyDescent="0.35">
      <c r="A31" s="3" t="s">
        <v>132</v>
      </c>
      <c r="D31" s="10">
        <v>7</v>
      </c>
      <c r="E31" s="3">
        <f t="shared" si="0"/>
        <v>95</v>
      </c>
      <c r="F31" s="18">
        <f t="shared" ref="F31:F32" si="1">F30+C31</f>
        <v>6</v>
      </c>
      <c r="I31" s="89"/>
      <c r="J31" s="90"/>
      <c r="K31" s="90"/>
      <c r="L31" s="90"/>
      <c r="M31" s="91"/>
    </row>
    <row r="32" spans="1:13" x14ac:dyDescent="0.3">
      <c r="A32" s="3" t="s">
        <v>48</v>
      </c>
      <c r="D32" s="10">
        <v>45</v>
      </c>
      <c r="E32" s="3">
        <f t="shared" si="0"/>
        <v>140</v>
      </c>
      <c r="F32" s="18">
        <f t="shared" si="1"/>
        <v>6</v>
      </c>
    </row>
    <row r="33" spans="1:7" x14ac:dyDescent="0.3">
      <c r="A33" s="16"/>
      <c r="B33" s="13"/>
    </row>
    <row r="34" spans="1:7" x14ac:dyDescent="0.3">
      <c r="B34" s="13"/>
    </row>
    <row r="35" spans="1:7" x14ac:dyDescent="0.3">
      <c r="A35" s="4" t="s">
        <v>34</v>
      </c>
      <c r="B35" s="13"/>
    </row>
    <row r="37" spans="1:7" x14ac:dyDescent="0.3">
      <c r="A37" s="4" t="s">
        <v>5</v>
      </c>
    </row>
    <row r="38" spans="1:7" x14ac:dyDescent="0.3">
      <c r="A38" s="16" t="s">
        <v>6</v>
      </c>
      <c r="B38" s="14">
        <v>0.1</v>
      </c>
      <c r="C38" s="3" t="s">
        <v>112</v>
      </c>
    </row>
    <row r="39" spans="1:7" x14ac:dyDescent="0.3">
      <c r="A39" s="16" t="s">
        <v>7</v>
      </c>
      <c r="B39" s="14">
        <v>0.15</v>
      </c>
      <c r="C39" s="3" t="s">
        <v>113</v>
      </c>
    </row>
    <row r="40" spans="1:7" x14ac:dyDescent="0.3">
      <c r="A40" s="16" t="s">
        <v>8</v>
      </c>
      <c r="B40" s="7">
        <v>0.5</v>
      </c>
      <c r="C40" s="3" t="s">
        <v>114</v>
      </c>
    </row>
    <row r="41" spans="1:7" x14ac:dyDescent="0.3">
      <c r="B41" s="17"/>
    </row>
    <row r="42" spans="1:7" x14ac:dyDescent="0.3">
      <c r="A42" s="12" t="s">
        <v>98</v>
      </c>
      <c r="B42" s="14">
        <v>0.02</v>
      </c>
      <c r="C42" s="3" t="s">
        <v>115</v>
      </c>
    </row>
    <row r="43" spans="1:7" x14ac:dyDescent="0.3">
      <c r="B43" s="17"/>
    </row>
    <row r="44" spans="1:7" x14ac:dyDescent="0.3">
      <c r="C44" s="17" t="s">
        <v>19</v>
      </c>
      <c r="D44" s="3" t="s">
        <v>20</v>
      </c>
      <c r="E44" s="17" t="s">
        <v>21</v>
      </c>
      <c r="F44" s="3" t="s">
        <v>22</v>
      </c>
      <c r="G44" s="3" t="s">
        <v>116</v>
      </c>
    </row>
    <row r="45" spans="1:7" x14ac:dyDescent="0.3">
      <c r="A45" s="3" t="s">
        <v>34</v>
      </c>
      <c r="C45" s="11">
        <v>6000</v>
      </c>
      <c r="D45" s="11">
        <v>50000</v>
      </c>
      <c r="E45" s="11">
        <v>120000</v>
      </c>
      <c r="F45" s="11">
        <v>240000</v>
      </c>
    </row>
    <row r="46" spans="1:7" x14ac:dyDescent="0.3">
      <c r="A46" s="3" t="s">
        <v>35</v>
      </c>
      <c r="C46" s="55">
        <f>+J16</f>
        <v>0</v>
      </c>
      <c r="D46" s="55">
        <f t="shared" ref="D46:F46" si="2">+K16</f>
        <v>0</v>
      </c>
      <c r="E46" s="55">
        <f t="shared" si="2"/>
        <v>0</v>
      </c>
      <c r="F46" s="55">
        <f t="shared" si="2"/>
        <v>0</v>
      </c>
    </row>
    <row r="48" spans="1:7" x14ac:dyDescent="0.3">
      <c r="A48" s="3" t="s">
        <v>14</v>
      </c>
      <c r="B48" s="19">
        <v>0.25</v>
      </c>
      <c r="C48" s="3" t="s">
        <v>165</v>
      </c>
    </row>
    <row r="50" spans="1:2" x14ac:dyDescent="0.3">
      <c r="A50" s="4" t="s">
        <v>122</v>
      </c>
      <c r="B50" s="21" t="s">
        <v>126</v>
      </c>
    </row>
    <row r="51" spans="1:2" x14ac:dyDescent="0.3">
      <c r="A51" s="3" t="s">
        <v>129</v>
      </c>
      <c r="B51" s="51">
        <v>12000</v>
      </c>
    </row>
    <row r="52" spans="1:2" x14ac:dyDescent="0.3">
      <c r="A52" s="3" t="s">
        <v>123</v>
      </c>
      <c r="B52" s="51">
        <v>0</v>
      </c>
    </row>
  </sheetData>
  <scenarios current="0" show="0">
    <scenario name="China Production" count="7" user="Arnold Shields" comment="Manufacture in China with lower costs but need to place larger orders and greater inventory days - order every six months">
      <inputCells r="B21" val="4.5" numFmtId="44"/>
      <inputCells r="B22" val="1" numFmtId="44"/>
      <inputCells r="B28" val="0.3" numFmtId="9"/>
      <inputCells r="B29" val="0.7" numFmtId="9"/>
      <inputCells r="D29" val="14"/>
      <inputCells r="D30" val="60"/>
      <inputCells r="D32" val="90"/>
    </scenario>
    <scenario name="USA Production" count="7" user="Arnold Shields" comment="Us Manufacturer - no deposit almost double price but lower shipping costs and order every month">
      <inputCells r="B21" val="8" numFmtId="44"/>
      <inputCells r="B22" val="0.2" numFmtId="44"/>
      <inputCells r="B28" val="0" numFmtId="9"/>
      <inputCells r="B29" val="1" numFmtId="9"/>
      <inputCells r="D29" val="0"/>
      <inputCells r="D30" val="2"/>
      <inputCells r="D32" val="15"/>
    </scenario>
  </scenarios>
  <hyperlinks>
    <hyperlink ref="A1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6"/>
  <sheetViews>
    <sheetView showGridLines="0" workbookViewId="0">
      <selection activeCell="B16" sqref="B16"/>
    </sheetView>
  </sheetViews>
  <sheetFormatPr defaultColWidth="8.7109375" defaultRowHeight="16.5" x14ac:dyDescent="0.3"/>
  <cols>
    <col min="1" max="1" width="21.85546875" style="3" customWidth="1"/>
    <col min="2" max="2" width="11.140625" style="3" bestFit="1" customWidth="1"/>
    <col min="3" max="3" width="10" style="3" customWidth="1"/>
    <col min="4" max="5" width="11.140625" style="3" bestFit="1" customWidth="1"/>
    <col min="6" max="16384" width="8.7109375" style="3"/>
  </cols>
  <sheetData>
    <row r="1" spans="1:6" ht="18.75" x14ac:dyDescent="0.3">
      <c r="A1" s="34" t="s">
        <v>119</v>
      </c>
    </row>
    <row r="2" spans="1:6" x14ac:dyDescent="0.3">
      <c r="B2" s="6" t="s">
        <v>19</v>
      </c>
      <c r="C2" s="6" t="s">
        <v>20</v>
      </c>
      <c r="D2" s="6" t="s">
        <v>21</v>
      </c>
      <c r="E2" s="6" t="s">
        <v>22</v>
      </c>
    </row>
    <row r="3" spans="1:6" x14ac:dyDescent="0.3">
      <c r="A3" s="3" t="s">
        <v>72</v>
      </c>
      <c r="B3" s="23">
        <f>Y1Units</f>
        <v>3650</v>
      </c>
      <c r="C3" s="23">
        <f>Y2Units</f>
        <v>18250</v>
      </c>
      <c r="D3" s="23">
        <f>Y3Units</f>
        <v>54750</v>
      </c>
      <c r="E3" s="23">
        <f>Y4Units</f>
        <v>146000</v>
      </c>
    </row>
    <row r="4" spans="1:6" x14ac:dyDescent="0.3">
      <c r="F4" s="8"/>
    </row>
    <row r="5" spans="1:6" x14ac:dyDescent="0.3">
      <c r="A5" s="3" t="s">
        <v>26</v>
      </c>
      <c r="B5" s="35">
        <f>SUM('Profit &amp; Loss'!C7:F7)</f>
        <v>91254.166666666672</v>
      </c>
      <c r="C5" s="33">
        <f>SUM('Profit &amp; Loss'!G7:J7)</f>
        <v>456250</v>
      </c>
      <c r="D5" s="33">
        <f>SUM('Profit &amp; Loss'!K7:N7)</f>
        <v>1368750</v>
      </c>
      <c r="E5" s="33">
        <f>SUM('Profit &amp; Loss'!O7:R7)</f>
        <v>3650000</v>
      </c>
      <c r="F5" s="8"/>
    </row>
    <row r="6" spans="1:6" x14ac:dyDescent="0.3">
      <c r="A6" s="4" t="s">
        <v>27</v>
      </c>
      <c r="C6" s="8"/>
      <c r="D6" s="8"/>
      <c r="E6" s="8"/>
      <c r="F6" s="8"/>
    </row>
    <row r="7" spans="1:6" x14ac:dyDescent="0.3">
      <c r="A7" s="16" t="s">
        <v>28</v>
      </c>
      <c r="B7" s="8">
        <f>SUM('Profit &amp; Loss'!C10:F10)</f>
        <v>18250.833333333336</v>
      </c>
      <c r="C7" s="8">
        <f>SUM('Profit &amp; Loss'!G10:J10)</f>
        <v>91250</v>
      </c>
      <c r="D7" s="8">
        <f>SUM('Profit &amp; Loss'!K10:N10)</f>
        <v>273750</v>
      </c>
      <c r="E7" s="8">
        <f>SUM('Profit &amp; Loss'!O10:R10)</f>
        <v>730000</v>
      </c>
      <c r="F7" s="8"/>
    </row>
    <row r="8" spans="1:6" x14ac:dyDescent="0.3">
      <c r="A8" s="16" t="s">
        <v>29</v>
      </c>
      <c r="B8" s="8">
        <f>SUM('Profit &amp; Loss'!C11:F11)</f>
        <v>3650.166666666667</v>
      </c>
      <c r="C8" s="8">
        <f>SUM('Profit &amp; Loss'!G11:J11)</f>
        <v>18250</v>
      </c>
      <c r="D8" s="8">
        <f>SUM('Profit &amp; Loss'!K11:N11)</f>
        <v>54750</v>
      </c>
      <c r="E8" s="8">
        <f>SUM('Profit &amp; Loss'!O11:R11)</f>
        <v>146000</v>
      </c>
      <c r="F8" s="8"/>
    </row>
    <row r="9" spans="1:6" x14ac:dyDescent="0.3">
      <c r="A9" s="16" t="s">
        <v>30</v>
      </c>
      <c r="B9" s="8">
        <f>SUM('Profit &amp; Loss'!C12:F12)</f>
        <v>17885.816666666669</v>
      </c>
      <c r="C9" s="8">
        <f>SUM('Profit &amp; Loss'!G12:J12)</f>
        <v>89425</v>
      </c>
      <c r="D9" s="8">
        <f>SUM('Profit &amp; Loss'!K12:N12)</f>
        <v>268275</v>
      </c>
      <c r="E9" s="8">
        <f>SUM('Profit &amp; Loss'!O12:R12)</f>
        <v>715400</v>
      </c>
      <c r="F9" s="8"/>
    </row>
    <row r="10" spans="1:6" x14ac:dyDescent="0.3">
      <c r="A10" s="16" t="s">
        <v>4</v>
      </c>
      <c r="B10" s="8">
        <f>SUM('Profit &amp; Loss'!C13:F13)</f>
        <v>13688.125</v>
      </c>
      <c r="C10" s="8">
        <f>SUM('Profit &amp; Loss'!G13:J13)</f>
        <v>68437.5</v>
      </c>
      <c r="D10" s="8">
        <f>SUM('Profit &amp; Loss'!K13:N13)</f>
        <v>205312.5</v>
      </c>
      <c r="E10" s="8">
        <f>SUM('Profit &amp; Loss'!O13:R13)</f>
        <v>547500</v>
      </c>
      <c r="F10" s="8"/>
    </row>
    <row r="11" spans="1:6" x14ac:dyDescent="0.3">
      <c r="A11" s="16" t="s">
        <v>5</v>
      </c>
      <c r="B11" s="8">
        <f>SUM('Profit &amp; Loss'!C14:F14)</f>
        <v>1216.7222222222222</v>
      </c>
      <c r="C11" s="8">
        <f>SUM('Profit &amp; Loss'!G14:J14)</f>
        <v>6083.3333333333339</v>
      </c>
      <c r="D11" s="8">
        <f>SUM('Profit &amp; Loss'!K14:N14)</f>
        <v>18250</v>
      </c>
      <c r="E11" s="8">
        <f>SUM('Profit &amp; Loss'!O14:R14)</f>
        <v>48666.666666666672</v>
      </c>
      <c r="F11" s="8"/>
    </row>
    <row r="12" spans="1:6" x14ac:dyDescent="0.3">
      <c r="A12" s="16" t="s">
        <v>99</v>
      </c>
      <c r="B12" s="8">
        <f>SUM('Profit &amp; Loss'!C15:F15)</f>
        <v>1825.0833333333335</v>
      </c>
      <c r="C12" s="8">
        <f>SUM('Profit &amp; Loss'!G15:J15)</f>
        <v>9125</v>
      </c>
      <c r="D12" s="8">
        <f>SUM('Profit &amp; Loss'!K15:N15)</f>
        <v>27375</v>
      </c>
      <c r="E12" s="8">
        <f>SUM('Profit &amp; Loss'!O15:R15)</f>
        <v>73000</v>
      </c>
      <c r="F12" s="8"/>
    </row>
    <row r="13" spans="1:6" x14ac:dyDescent="0.3">
      <c r="A13" s="3" t="s">
        <v>31</v>
      </c>
      <c r="B13" s="24">
        <f>SUM(B7:B12)</f>
        <v>56516.747222222228</v>
      </c>
      <c r="C13" s="24">
        <f t="shared" ref="C13:E13" si="0">SUM(C7:C12)</f>
        <v>282570.83333333331</v>
      </c>
      <c r="D13" s="24">
        <f t="shared" si="0"/>
        <v>847712.5</v>
      </c>
      <c r="E13" s="24">
        <f t="shared" si="0"/>
        <v>2260566.6666666665</v>
      </c>
      <c r="F13" s="8"/>
    </row>
    <row r="14" spans="1:6" x14ac:dyDescent="0.3">
      <c r="C14" s="8"/>
      <c r="D14" s="8"/>
      <c r="E14" s="8"/>
      <c r="F14" s="8"/>
    </row>
    <row r="15" spans="1:6" x14ac:dyDescent="0.3">
      <c r="A15" s="12" t="s">
        <v>32</v>
      </c>
      <c r="B15" s="25">
        <f>B5-B13</f>
        <v>34737.419444444444</v>
      </c>
      <c r="C15" s="25">
        <f>C5-C13</f>
        <v>173679.16666666669</v>
      </c>
      <c r="D15" s="25">
        <f>D5-D13</f>
        <v>521037.5</v>
      </c>
      <c r="E15" s="25">
        <f>E5-E13</f>
        <v>1389433.3333333335</v>
      </c>
      <c r="F15" s="8"/>
    </row>
    <row r="16" spans="1:6" x14ac:dyDescent="0.3">
      <c r="A16" s="16" t="s">
        <v>33</v>
      </c>
      <c r="B16" s="26">
        <f>B15/B5</f>
        <v>0.38066666666666665</v>
      </c>
      <c r="C16" s="26">
        <f>C15/C5</f>
        <v>0.38066666666666671</v>
      </c>
      <c r="D16" s="26">
        <f>D15/D5</f>
        <v>0.38066666666666665</v>
      </c>
      <c r="E16" s="26">
        <f>E15/E5</f>
        <v>0.38066666666666671</v>
      </c>
      <c r="F16" s="8"/>
    </row>
    <row r="17" spans="1:6" x14ac:dyDescent="0.3">
      <c r="C17" s="8"/>
      <c r="D17" s="8"/>
      <c r="E17" s="8"/>
      <c r="F17" s="8"/>
    </row>
    <row r="18" spans="1:6" x14ac:dyDescent="0.3">
      <c r="A18" s="3" t="s">
        <v>34</v>
      </c>
      <c r="C18" s="8"/>
      <c r="D18" s="8"/>
      <c r="E18" s="8"/>
      <c r="F18" s="8"/>
    </row>
    <row r="19" spans="1:6" x14ac:dyDescent="0.3">
      <c r="A19" s="16" t="s">
        <v>36</v>
      </c>
      <c r="B19" s="8">
        <f>SUM('Profit &amp; Loss'!C22:F22)</f>
        <v>6000</v>
      </c>
      <c r="C19" s="8">
        <f>SUM('Profit &amp; Loss'!G22:J22)</f>
        <v>50000</v>
      </c>
      <c r="D19" s="8">
        <f>SUM('Profit &amp; Loss'!K22:N22)</f>
        <v>120000</v>
      </c>
      <c r="E19" s="8">
        <f>SUM('Profit &amp; Loss'!O22:R22)</f>
        <v>240000</v>
      </c>
      <c r="F19" s="8"/>
    </row>
    <row r="20" spans="1:6" x14ac:dyDescent="0.3">
      <c r="A20" s="16" t="s">
        <v>35</v>
      </c>
      <c r="B20" s="8">
        <f>SUM('Profit &amp; Loss'!C23:F23)</f>
        <v>0</v>
      </c>
      <c r="C20" s="8">
        <f>SUM('Profit &amp; Loss'!G23:J23)</f>
        <v>0</v>
      </c>
      <c r="D20" s="8">
        <f>SUM('Profit &amp; Loss'!K23:N23)</f>
        <v>0</v>
      </c>
      <c r="E20" s="8">
        <f>SUM('Profit &amp; Loss'!O23:R23)</f>
        <v>0</v>
      </c>
      <c r="F20" s="8"/>
    </row>
    <row r="21" spans="1:6" x14ac:dyDescent="0.3">
      <c r="C21" s="8"/>
      <c r="D21" s="8"/>
      <c r="E21" s="8"/>
      <c r="F21" s="8"/>
    </row>
    <row r="22" spans="1:6" x14ac:dyDescent="0.3">
      <c r="A22" s="3" t="s">
        <v>37</v>
      </c>
      <c r="B22" s="27">
        <f>SUM(B19:B21)</f>
        <v>6000</v>
      </c>
      <c r="C22" s="27">
        <f t="shared" ref="C22:E22" si="1">SUM(C19:C21)</f>
        <v>50000</v>
      </c>
      <c r="D22" s="27">
        <f t="shared" si="1"/>
        <v>120000</v>
      </c>
      <c r="E22" s="27">
        <f t="shared" si="1"/>
        <v>240000</v>
      </c>
      <c r="F22" s="8"/>
    </row>
    <row r="23" spans="1:6" x14ac:dyDescent="0.3">
      <c r="C23" s="8"/>
      <c r="D23" s="8"/>
      <c r="E23" s="8"/>
      <c r="F23" s="8"/>
    </row>
    <row r="24" spans="1:6" x14ac:dyDescent="0.3">
      <c r="A24" s="3" t="s">
        <v>38</v>
      </c>
      <c r="B24" s="36">
        <f>B15-B22</f>
        <v>28737.419444444444</v>
      </c>
      <c r="C24" s="36">
        <f>C15-C22</f>
        <v>123679.16666666669</v>
      </c>
      <c r="D24" s="36">
        <f>D15-D22</f>
        <v>401037.5</v>
      </c>
      <c r="E24" s="36">
        <f>E15-E22</f>
        <v>1149433.3333333335</v>
      </c>
      <c r="F24" s="8"/>
    </row>
    <row r="25" spans="1:6" x14ac:dyDescent="0.3">
      <c r="C25" s="8"/>
      <c r="D25" s="8"/>
      <c r="E25" s="8"/>
      <c r="F25" s="8"/>
    </row>
    <row r="26" spans="1:6" x14ac:dyDescent="0.3">
      <c r="A26" s="3" t="s">
        <v>39</v>
      </c>
      <c r="B26" s="28">
        <f>SUM('Profit &amp; Loss'!C29:F29)</f>
        <v>7184.3548611111109</v>
      </c>
      <c r="C26" s="8">
        <f>SUM('Profit &amp; Loss'!G29:J29)</f>
        <v>30919.791666666664</v>
      </c>
      <c r="D26" s="8">
        <f>SUM('Profit &amp; Loss'!K29:N29)</f>
        <v>100259.37499999999</v>
      </c>
      <c r="E26" s="8">
        <f>SUM('Profit &amp; Loss'!O29:R29)</f>
        <v>287358.33333333331</v>
      </c>
      <c r="F26" s="8"/>
    </row>
    <row r="27" spans="1:6" x14ac:dyDescent="0.3">
      <c r="C27" s="8"/>
      <c r="D27" s="8"/>
      <c r="E27" s="8"/>
      <c r="F27" s="8"/>
    </row>
    <row r="28" spans="1:6" ht="17.25" thickBot="1" x14ac:dyDescent="0.35">
      <c r="A28" s="3" t="s">
        <v>40</v>
      </c>
      <c r="B28" s="29">
        <f>B24-B26</f>
        <v>21553.064583333333</v>
      </c>
      <c r="C28" s="29">
        <f t="shared" ref="C28:E28" si="2">C24-C26</f>
        <v>92759.375000000029</v>
      </c>
      <c r="D28" s="29">
        <f t="shared" si="2"/>
        <v>300778.125</v>
      </c>
      <c r="E28" s="29">
        <f t="shared" si="2"/>
        <v>862075.00000000023</v>
      </c>
      <c r="F28" s="8"/>
    </row>
    <row r="29" spans="1:6" ht="17.25" thickTop="1" x14ac:dyDescent="0.3"/>
    <row r="30" spans="1:6" x14ac:dyDescent="0.3">
      <c r="A30" s="4" t="s">
        <v>120</v>
      </c>
    </row>
    <row r="31" spans="1:6" x14ac:dyDescent="0.3">
      <c r="B31" s="6" t="s">
        <v>19</v>
      </c>
      <c r="C31" s="6" t="s">
        <v>20</v>
      </c>
      <c r="D31" s="6" t="s">
        <v>21</v>
      </c>
      <c r="E31" s="6" t="s">
        <v>22</v>
      </c>
    </row>
    <row r="32" spans="1:6" x14ac:dyDescent="0.3">
      <c r="A32" s="3" t="s">
        <v>71</v>
      </c>
    </row>
    <row r="33" spans="1:5" x14ac:dyDescent="0.3">
      <c r="A33" s="16" t="s">
        <v>59</v>
      </c>
      <c r="B33" s="9">
        <f>'Balance Sheet'!F5</f>
        <v>22765.111752136752</v>
      </c>
      <c r="C33" s="9">
        <f>'Balance Sheet'!J5</f>
        <v>95459.923557692324</v>
      </c>
      <c r="D33" s="9">
        <f>'Balance Sheet'!N5</f>
        <v>356082.24727564101</v>
      </c>
      <c r="E33" s="9">
        <f>'Balance Sheet'!R5</f>
        <v>1194674.6671474357</v>
      </c>
    </row>
    <row r="34" spans="1:5" x14ac:dyDescent="0.3">
      <c r="A34" s="16" t="s">
        <v>60</v>
      </c>
      <c r="B34" s="8">
        <f>'Balance Sheet'!F6</f>
        <v>17972.307692307691</v>
      </c>
      <c r="C34" s="8">
        <f>'Balance Sheet'!J6</f>
        <v>61772.307692307695</v>
      </c>
      <c r="D34" s="8">
        <f>'Balance Sheet'!N6</f>
        <v>171267.69230769231</v>
      </c>
      <c r="E34" s="8">
        <f>'Balance Sheet'!R6</f>
        <v>381849.23076923075</v>
      </c>
    </row>
    <row r="35" spans="1:5" x14ac:dyDescent="0.3">
      <c r="B35" s="8"/>
      <c r="C35" s="8"/>
      <c r="D35" s="8"/>
      <c r="E35" s="8"/>
    </row>
    <row r="36" spans="1:5" x14ac:dyDescent="0.3">
      <c r="A36" s="3" t="s">
        <v>61</v>
      </c>
      <c r="B36" s="24">
        <f>'Balance Sheet'!F8</f>
        <v>40737.419444444444</v>
      </c>
      <c r="C36" s="24">
        <f>'Balance Sheet'!J8</f>
        <v>157232.23125000001</v>
      </c>
      <c r="D36" s="24">
        <f>'Balance Sheet'!N8</f>
        <v>527349.93958333333</v>
      </c>
      <c r="E36" s="24">
        <f>'Balance Sheet'!R8</f>
        <v>1576523.8979166665</v>
      </c>
    </row>
    <row r="37" spans="1:5" x14ac:dyDescent="0.3">
      <c r="B37" s="8"/>
      <c r="C37" s="8"/>
      <c r="D37" s="8"/>
      <c r="E37" s="8"/>
    </row>
    <row r="38" spans="1:5" x14ac:dyDescent="0.3">
      <c r="A38" s="3" t="s">
        <v>62</v>
      </c>
      <c r="B38" s="8"/>
      <c r="C38" s="8"/>
      <c r="D38" s="8"/>
      <c r="E38" s="8"/>
    </row>
    <row r="39" spans="1:5" x14ac:dyDescent="0.3">
      <c r="A39" s="16" t="s">
        <v>58</v>
      </c>
      <c r="B39" s="8">
        <f>'Balance Sheet'!F11</f>
        <v>7184.3548611111109</v>
      </c>
      <c r="C39" s="8">
        <f>'Balance Sheet'!J11</f>
        <v>30919.791666666664</v>
      </c>
      <c r="D39" s="8">
        <f>'Balance Sheet'!N11</f>
        <v>100259.37499999999</v>
      </c>
      <c r="E39" s="8">
        <f>'Balance Sheet'!R11</f>
        <v>287358.33333333331</v>
      </c>
    </row>
    <row r="40" spans="1:5" x14ac:dyDescent="0.3">
      <c r="A40" s="16" t="s">
        <v>66</v>
      </c>
      <c r="B40" s="8">
        <f>'Balance Sheet'!F12</f>
        <v>12000</v>
      </c>
      <c r="C40" s="8">
        <f>'Balance Sheet'!J12</f>
        <v>12000</v>
      </c>
      <c r="D40" s="8">
        <f>'Balance Sheet'!N12</f>
        <v>12000</v>
      </c>
      <c r="E40" s="8">
        <f>'Balance Sheet'!R12</f>
        <v>12000</v>
      </c>
    </row>
    <row r="41" spans="1:5" x14ac:dyDescent="0.3">
      <c r="A41" s="3" t="s">
        <v>63</v>
      </c>
      <c r="B41" s="24">
        <f>'Balance Sheet'!F13</f>
        <v>19184.354861111111</v>
      </c>
      <c r="C41" s="24">
        <f>'Balance Sheet'!J13</f>
        <v>42919.791666666664</v>
      </c>
      <c r="D41" s="24">
        <f>'Balance Sheet'!N13</f>
        <v>112259.37499999999</v>
      </c>
      <c r="E41" s="24">
        <f>'Balance Sheet'!R13</f>
        <v>299358.33333333331</v>
      </c>
    </row>
    <row r="42" spans="1:5" x14ac:dyDescent="0.3">
      <c r="B42" s="8"/>
      <c r="C42" s="8"/>
      <c r="D42" s="8"/>
      <c r="E42" s="8"/>
    </row>
    <row r="43" spans="1:5" ht="17.25" thickBot="1" x14ac:dyDescent="0.35">
      <c r="A43" s="3" t="s">
        <v>64</v>
      </c>
      <c r="B43" s="30">
        <f>'Balance Sheet'!F15</f>
        <v>21553.064583333333</v>
      </c>
      <c r="C43" s="30">
        <f>'Balance Sheet'!J15</f>
        <v>114312.43958333335</v>
      </c>
      <c r="D43" s="30">
        <f>'Balance Sheet'!N15</f>
        <v>415090.56458333333</v>
      </c>
      <c r="E43" s="30">
        <f>'Balance Sheet'!R15</f>
        <v>1277165.5645833332</v>
      </c>
    </row>
    <row r="44" spans="1:5" ht="17.25" thickTop="1" x14ac:dyDescent="0.3">
      <c r="B44" s="8"/>
      <c r="C44" s="8"/>
      <c r="D44" s="8"/>
      <c r="E44" s="8"/>
    </row>
    <row r="45" spans="1:5" ht="17.25" thickBot="1" x14ac:dyDescent="0.35">
      <c r="A45" s="3" t="s">
        <v>65</v>
      </c>
      <c r="B45" s="31">
        <f>'Balance Sheet'!F17</f>
        <v>21553.064583333333</v>
      </c>
      <c r="C45" s="31">
        <f>'Balance Sheet'!J17</f>
        <v>114312.43958333331</v>
      </c>
      <c r="D45" s="31">
        <f>'Balance Sheet'!N17</f>
        <v>415090.56458333321</v>
      </c>
      <c r="E45" s="31">
        <f>'Balance Sheet'!R17</f>
        <v>1277165.5645833332</v>
      </c>
    </row>
    <row r="46" spans="1:5" ht="17.25" thickTop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1"/>
  <sheetViews>
    <sheetView showGridLines="0" workbookViewId="0">
      <selection activeCell="O21" sqref="O21"/>
    </sheetView>
  </sheetViews>
  <sheetFormatPr defaultColWidth="8.7109375" defaultRowHeight="16.5" x14ac:dyDescent="0.3"/>
  <cols>
    <col min="1" max="1" width="28" style="3" customWidth="1"/>
    <col min="2" max="2" width="2.5703125" style="3" customWidth="1"/>
    <col min="3" max="3" width="11.28515625" style="3" bestFit="1" customWidth="1"/>
    <col min="4" max="5" width="10" style="3" bestFit="1" customWidth="1"/>
    <col min="6" max="7" width="10.140625" style="3" bestFit="1" customWidth="1"/>
    <col min="8" max="8" width="9.85546875" style="3" bestFit="1" customWidth="1"/>
    <col min="9" max="10" width="10.140625" style="3" bestFit="1" customWidth="1"/>
    <col min="11" max="18" width="10.85546875" style="3" bestFit="1" customWidth="1"/>
    <col min="19" max="16384" width="8.7109375" style="3"/>
  </cols>
  <sheetData>
    <row r="1" spans="1:18" ht="18.75" x14ac:dyDescent="0.3">
      <c r="A1" s="53" t="s">
        <v>121</v>
      </c>
    </row>
    <row r="2" spans="1:18" x14ac:dyDescent="0.3">
      <c r="C2" s="92" t="s">
        <v>19</v>
      </c>
      <c r="D2" s="92"/>
      <c r="E2" s="92"/>
      <c r="F2" s="92"/>
      <c r="G2" s="92" t="s">
        <v>20</v>
      </c>
      <c r="H2" s="92"/>
      <c r="I2" s="92"/>
      <c r="J2" s="92"/>
      <c r="K2" s="92" t="s">
        <v>21</v>
      </c>
      <c r="L2" s="92"/>
      <c r="M2" s="92"/>
      <c r="N2" s="92"/>
      <c r="O2" s="92" t="s">
        <v>22</v>
      </c>
      <c r="P2" s="92"/>
      <c r="Q2" s="92"/>
      <c r="R2" s="92"/>
    </row>
    <row r="3" spans="1:18" x14ac:dyDescent="0.3">
      <c r="C3" s="6" t="s">
        <v>15</v>
      </c>
      <c r="D3" s="6" t="s">
        <v>16</v>
      </c>
      <c r="E3" s="6" t="s">
        <v>17</v>
      </c>
      <c r="F3" s="37" t="s">
        <v>18</v>
      </c>
      <c r="G3" s="6" t="s">
        <v>15</v>
      </c>
      <c r="H3" s="6" t="s">
        <v>16</v>
      </c>
      <c r="I3" s="6" t="s">
        <v>17</v>
      </c>
      <c r="J3" s="37" t="s">
        <v>18</v>
      </c>
      <c r="K3" s="6" t="s">
        <v>15</v>
      </c>
      <c r="L3" s="6" t="s">
        <v>16</v>
      </c>
      <c r="M3" s="6" t="s">
        <v>17</v>
      </c>
      <c r="N3" s="37" t="s">
        <v>18</v>
      </c>
      <c r="O3" s="6" t="s">
        <v>15</v>
      </c>
      <c r="P3" s="6" t="s">
        <v>16</v>
      </c>
      <c r="Q3" s="6" t="s">
        <v>17</v>
      </c>
      <c r="R3" s="37" t="s">
        <v>18</v>
      </c>
    </row>
    <row r="4" spans="1:18" x14ac:dyDescent="0.3">
      <c r="F4" s="38"/>
      <c r="J4" s="38"/>
      <c r="N4" s="38"/>
      <c r="R4" s="38"/>
    </row>
    <row r="5" spans="1:18" x14ac:dyDescent="0.3">
      <c r="A5" s="3" t="s">
        <v>24</v>
      </c>
      <c r="C5" s="23">
        <f>C40</f>
        <v>304.16666666666669</v>
      </c>
      <c r="D5" s="23">
        <f t="shared" ref="D5:R5" si="0">D40</f>
        <v>608</v>
      </c>
      <c r="E5" s="23">
        <f t="shared" si="0"/>
        <v>1217</v>
      </c>
      <c r="F5" s="39">
        <f t="shared" si="0"/>
        <v>1521</v>
      </c>
      <c r="G5" s="23">
        <f t="shared" si="0"/>
        <v>1947</v>
      </c>
      <c r="H5" s="23">
        <f t="shared" si="0"/>
        <v>3163</v>
      </c>
      <c r="I5" s="23">
        <f t="shared" si="0"/>
        <v>5597</v>
      </c>
      <c r="J5" s="39">
        <f t="shared" si="0"/>
        <v>7543</v>
      </c>
      <c r="K5" s="23">
        <f t="shared" si="0"/>
        <v>6692</v>
      </c>
      <c r="L5" s="23">
        <f t="shared" si="0"/>
        <v>9733</v>
      </c>
      <c r="M5" s="23">
        <f t="shared" si="0"/>
        <v>15817</v>
      </c>
      <c r="N5" s="39">
        <f t="shared" si="0"/>
        <v>22508</v>
      </c>
      <c r="O5" s="23">
        <f t="shared" si="0"/>
        <v>18554</v>
      </c>
      <c r="P5" s="23">
        <f t="shared" si="0"/>
        <v>26158</v>
      </c>
      <c r="Q5" s="23">
        <f t="shared" si="0"/>
        <v>41367</v>
      </c>
      <c r="R5" s="39">
        <f t="shared" si="0"/>
        <v>59921</v>
      </c>
    </row>
    <row r="6" spans="1:18" x14ac:dyDescent="0.3">
      <c r="F6" s="38"/>
      <c r="J6" s="38"/>
      <c r="N6" s="38"/>
      <c r="R6" s="38"/>
    </row>
    <row r="7" spans="1:18" x14ac:dyDescent="0.3">
      <c r="A7" s="3" t="s">
        <v>26</v>
      </c>
      <c r="C7" s="22">
        <f t="shared" ref="C7:R7" si="1">C5*Price</f>
        <v>7604.166666666667</v>
      </c>
      <c r="D7" s="22">
        <f t="shared" si="1"/>
        <v>15200</v>
      </c>
      <c r="E7" s="22">
        <f t="shared" si="1"/>
        <v>30425</v>
      </c>
      <c r="F7" s="40">
        <f t="shared" si="1"/>
        <v>38025</v>
      </c>
      <c r="G7" s="22">
        <f t="shared" si="1"/>
        <v>48675</v>
      </c>
      <c r="H7" s="22">
        <f t="shared" si="1"/>
        <v>79075</v>
      </c>
      <c r="I7" s="22">
        <f t="shared" si="1"/>
        <v>139925</v>
      </c>
      <c r="J7" s="40">
        <f t="shared" si="1"/>
        <v>188575</v>
      </c>
      <c r="K7" s="22">
        <f t="shared" si="1"/>
        <v>167300</v>
      </c>
      <c r="L7" s="22">
        <f t="shared" si="1"/>
        <v>243325</v>
      </c>
      <c r="M7" s="22">
        <f t="shared" si="1"/>
        <v>395425</v>
      </c>
      <c r="N7" s="40">
        <f t="shared" si="1"/>
        <v>562700</v>
      </c>
      <c r="O7" s="22">
        <f t="shared" si="1"/>
        <v>463850</v>
      </c>
      <c r="P7" s="22">
        <f t="shared" si="1"/>
        <v>653950</v>
      </c>
      <c r="Q7" s="22">
        <f t="shared" si="1"/>
        <v>1034175</v>
      </c>
      <c r="R7" s="40">
        <f t="shared" si="1"/>
        <v>1498025</v>
      </c>
    </row>
    <row r="8" spans="1:18" x14ac:dyDescent="0.3">
      <c r="F8" s="38"/>
      <c r="J8" s="38"/>
      <c r="N8" s="38"/>
      <c r="R8" s="38"/>
    </row>
    <row r="9" spans="1:18" x14ac:dyDescent="0.3">
      <c r="A9" s="4" t="s">
        <v>27</v>
      </c>
      <c r="B9" s="4"/>
      <c r="F9" s="38"/>
      <c r="J9" s="38"/>
      <c r="N9" s="38"/>
      <c r="R9" s="38"/>
    </row>
    <row r="10" spans="1:18" x14ac:dyDescent="0.3">
      <c r="A10" s="16" t="s">
        <v>28</v>
      </c>
      <c r="B10" s="16"/>
      <c r="C10" s="8">
        <f t="shared" ref="C10:R10" si="2">C5*LUC</f>
        <v>1520.8333333333335</v>
      </c>
      <c r="D10" s="8">
        <f t="shared" si="2"/>
        <v>3040</v>
      </c>
      <c r="E10" s="8">
        <f t="shared" si="2"/>
        <v>6085</v>
      </c>
      <c r="F10" s="41">
        <f t="shared" si="2"/>
        <v>7605</v>
      </c>
      <c r="G10" s="8">
        <f t="shared" si="2"/>
        <v>9735</v>
      </c>
      <c r="H10" s="8">
        <f t="shared" si="2"/>
        <v>15815</v>
      </c>
      <c r="I10" s="8">
        <f t="shared" si="2"/>
        <v>27985</v>
      </c>
      <c r="J10" s="41">
        <f t="shared" si="2"/>
        <v>37715</v>
      </c>
      <c r="K10" s="8">
        <f t="shared" si="2"/>
        <v>33460</v>
      </c>
      <c r="L10" s="8">
        <f t="shared" si="2"/>
        <v>48665</v>
      </c>
      <c r="M10" s="8">
        <f t="shared" si="2"/>
        <v>79085</v>
      </c>
      <c r="N10" s="41">
        <f t="shared" si="2"/>
        <v>112540</v>
      </c>
      <c r="O10" s="8">
        <f t="shared" si="2"/>
        <v>92770</v>
      </c>
      <c r="P10" s="8">
        <f t="shared" si="2"/>
        <v>130790</v>
      </c>
      <c r="Q10" s="8">
        <f t="shared" si="2"/>
        <v>206835</v>
      </c>
      <c r="R10" s="41">
        <f t="shared" si="2"/>
        <v>299605</v>
      </c>
    </row>
    <row r="11" spans="1:18" x14ac:dyDescent="0.3">
      <c r="A11" s="16" t="s">
        <v>29</v>
      </c>
      <c r="B11" s="16"/>
      <c r="C11" s="8">
        <f t="shared" ref="C11:R11" si="3">C5*Freight</f>
        <v>304.16666666666669</v>
      </c>
      <c r="D11" s="8">
        <f t="shared" si="3"/>
        <v>608</v>
      </c>
      <c r="E11" s="8">
        <f t="shared" si="3"/>
        <v>1217</v>
      </c>
      <c r="F11" s="41">
        <f t="shared" si="3"/>
        <v>1521</v>
      </c>
      <c r="G11" s="8">
        <f t="shared" si="3"/>
        <v>1947</v>
      </c>
      <c r="H11" s="8">
        <f t="shared" si="3"/>
        <v>3163</v>
      </c>
      <c r="I11" s="8">
        <f t="shared" si="3"/>
        <v>5597</v>
      </c>
      <c r="J11" s="41">
        <f t="shared" si="3"/>
        <v>7543</v>
      </c>
      <c r="K11" s="8">
        <f t="shared" si="3"/>
        <v>6692</v>
      </c>
      <c r="L11" s="8">
        <f t="shared" si="3"/>
        <v>9733</v>
      </c>
      <c r="M11" s="8">
        <f t="shared" si="3"/>
        <v>15817</v>
      </c>
      <c r="N11" s="41">
        <f t="shared" si="3"/>
        <v>22508</v>
      </c>
      <c r="O11" s="8">
        <f t="shared" si="3"/>
        <v>18554</v>
      </c>
      <c r="P11" s="8">
        <f t="shared" si="3"/>
        <v>26158</v>
      </c>
      <c r="Q11" s="8">
        <f t="shared" si="3"/>
        <v>41367</v>
      </c>
      <c r="R11" s="41">
        <f t="shared" si="3"/>
        <v>59921</v>
      </c>
    </row>
    <row r="12" spans="1:18" x14ac:dyDescent="0.3">
      <c r="A12" s="16" t="s">
        <v>30</v>
      </c>
      <c r="B12" s="16"/>
      <c r="C12" s="8">
        <f t="shared" ref="C12:R12" si="4">C5*FBA</f>
        <v>1490.416666666667</v>
      </c>
      <c r="D12" s="8">
        <f t="shared" si="4"/>
        <v>2979.2000000000003</v>
      </c>
      <c r="E12" s="8">
        <f t="shared" si="4"/>
        <v>5963.3</v>
      </c>
      <c r="F12" s="41">
        <f t="shared" si="4"/>
        <v>7452.9000000000005</v>
      </c>
      <c r="G12" s="8">
        <f t="shared" si="4"/>
        <v>9540.3000000000011</v>
      </c>
      <c r="H12" s="8">
        <f t="shared" si="4"/>
        <v>15498.7</v>
      </c>
      <c r="I12" s="8">
        <f t="shared" si="4"/>
        <v>27425.300000000003</v>
      </c>
      <c r="J12" s="41">
        <f t="shared" si="4"/>
        <v>36960.700000000004</v>
      </c>
      <c r="K12" s="8">
        <f t="shared" si="4"/>
        <v>32790.800000000003</v>
      </c>
      <c r="L12" s="8">
        <f t="shared" si="4"/>
        <v>47691.700000000004</v>
      </c>
      <c r="M12" s="8">
        <f t="shared" si="4"/>
        <v>77503.3</v>
      </c>
      <c r="N12" s="41">
        <f t="shared" si="4"/>
        <v>110289.20000000001</v>
      </c>
      <c r="O12" s="8">
        <f t="shared" si="4"/>
        <v>90914.6</v>
      </c>
      <c r="P12" s="8">
        <f t="shared" si="4"/>
        <v>128174.20000000001</v>
      </c>
      <c r="Q12" s="8">
        <f t="shared" si="4"/>
        <v>202698.30000000002</v>
      </c>
      <c r="R12" s="41">
        <f t="shared" si="4"/>
        <v>293612.90000000002</v>
      </c>
    </row>
    <row r="13" spans="1:18" x14ac:dyDescent="0.3">
      <c r="A13" s="16" t="s">
        <v>4</v>
      </c>
      <c r="B13" s="16"/>
      <c r="C13" s="8">
        <f t="shared" ref="C13:R13" si="5">C7*AmzComm</f>
        <v>1140.625</v>
      </c>
      <c r="D13" s="8">
        <f t="shared" si="5"/>
        <v>2280</v>
      </c>
      <c r="E13" s="8">
        <f t="shared" si="5"/>
        <v>4563.75</v>
      </c>
      <c r="F13" s="41">
        <f t="shared" si="5"/>
        <v>5703.75</v>
      </c>
      <c r="G13" s="8">
        <f t="shared" si="5"/>
        <v>7301.25</v>
      </c>
      <c r="H13" s="8">
        <f t="shared" si="5"/>
        <v>11861.25</v>
      </c>
      <c r="I13" s="8">
        <f t="shared" si="5"/>
        <v>20988.75</v>
      </c>
      <c r="J13" s="41">
        <f t="shared" si="5"/>
        <v>28286.25</v>
      </c>
      <c r="K13" s="8">
        <f t="shared" si="5"/>
        <v>25095</v>
      </c>
      <c r="L13" s="8">
        <f t="shared" si="5"/>
        <v>36498.75</v>
      </c>
      <c r="M13" s="8">
        <f t="shared" si="5"/>
        <v>59313.75</v>
      </c>
      <c r="N13" s="41">
        <f t="shared" si="5"/>
        <v>84405</v>
      </c>
      <c r="O13" s="8">
        <f t="shared" si="5"/>
        <v>69577.5</v>
      </c>
      <c r="P13" s="8">
        <f t="shared" si="5"/>
        <v>98092.5</v>
      </c>
      <c r="Q13" s="8">
        <f t="shared" si="5"/>
        <v>155126.25</v>
      </c>
      <c r="R13" s="41">
        <f t="shared" si="5"/>
        <v>224703.75</v>
      </c>
    </row>
    <row r="14" spans="1:18" x14ac:dyDescent="0.3">
      <c r="A14" s="16" t="s">
        <v>5</v>
      </c>
      <c r="B14" s="16"/>
      <c r="C14" s="8">
        <f>C5*Assumptions!$B$38/Assumptions!$B$39*Assumptions!$B$40</f>
        <v>101.38888888888891</v>
      </c>
      <c r="D14" s="8">
        <f>D5*Assumptions!$B$38/Assumptions!$B$39*Assumptions!$B$40</f>
        <v>202.66666666666669</v>
      </c>
      <c r="E14" s="8">
        <f>E5*Assumptions!$B$38/Assumptions!$B$39*Assumptions!$B$40</f>
        <v>405.66666666666669</v>
      </c>
      <c r="F14" s="41">
        <f>F5*Assumptions!$B$38/Assumptions!$B$39*Assumptions!$B$40</f>
        <v>507</v>
      </c>
      <c r="G14" s="8">
        <f>G5*Assumptions!$B$38/Assumptions!$B$39*Assumptions!$B$40</f>
        <v>649.00000000000011</v>
      </c>
      <c r="H14" s="8">
        <f>H5*Assumptions!$B$38/Assumptions!$B$39*Assumptions!$B$40</f>
        <v>1054.3333333333335</v>
      </c>
      <c r="I14" s="8">
        <f>I5*Assumptions!$B$38/Assumptions!$B$39*Assumptions!$B$40</f>
        <v>1865.666666666667</v>
      </c>
      <c r="J14" s="41">
        <f>J5*Assumptions!$B$38/Assumptions!$B$39*Assumptions!$B$40</f>
        <v>2514.3333333333335</v>
      </c>
      <c r="K14" s="8">
        <f>K5*Assumptions!$B$38/Assumptions!$B$39*Assumptions!$B$40</f>
        <v>2230.666666666667</v>
      </c>
      <c r="L14" s="8">
        <f>L5*Assumptions!$B$38/Assumptions!$B$39*Assumptions!$B$40</f>
        <v>3244.3333333333335</v>
      </c>
      <c r="M14" s="8">
        <f>M5*Assumptions!$B$38/Assumptions!$B$39*Assumptions!$B$40</f>
        <v>5272.3333333333339</v>
      </c>
      <c r="N14" s="41">
        <f>N5*Assumptions!$B$38/Assumptions!$B$39*Assumptions!$B$40</f>
        <v>7502.6666666666679</v>
      </c>
      <c r="O14" s="8">
        <f>O5*Assumptions!$B$38/Assumptions!$B$39*Assumptions!$B$40</f>
        <v>6184.666666666667</v>
      </c>
      <c r="P14" s="8">
        <f>P5*Assumptions!$B$38/Assumptions!$B$39*Assumptions!$B$40</f>
        <v>8719.3333333333339</v>
      </c>
      <c r="Q14" s="8">
        <f>Q5*Assumptions!$B$38/Assumptions!$B$39*Assumptions!$B$40</f>
        <v>13789</v>
      </c>
      <c r="R14" s="41">
        <f>R5*Assumptions!$B$38/Assumptions!$B$39*Assumptions!$B$40</f>
        <v>19973.666666666668</v>
      </c>
    </row>
    <row r="15" spans="1:18" x14ac:dyDescent="0.3">
      <c r="A15" s="16" t="s">
        <v>99</v>
      </c>
      <c r="C15" s="8">
        <f t="shared" ref="C15:R15" si="6">C7*VariExp</f>
        <v>152.08333333333334</v>
      </c>
      <c r="D15" s="8">
        <f t="shared" si="6"/>
        <v>304</v>
      </c>
      <c r="E15" s="8">
        <f t="shared" si="6"/>
        <v>608.5</v>
      </c>
      <c r="F15" s="41">
        <f t="shared" si="6"/>
        <v>760.5</v>
      </c>
      <c r="G15" s="8">
        <f t="shared" si="6"/>
        <v>973.5</v>
      </c>
      <c r="H15" s="8">
        <f t="shared" si="6"/>
        <v>1581.5</v>
      </c>
      <c r="I15" s="8">
        <f t="shared" si="6"/>
        <v>2798.5</v>
      </c>
      <c r="J15" s="41">
        <f t="shared" si="6"/>
        <v>3771.5</v>
      </c>
      <c r="K15" s="8">
        <f t="shared" si="6"/>
        <v>3346</v>
      </c>
      <c r="L15" s="8">
        <f t="shared" si="6"/>
        <v>4866.5</v>
      </c>
      <c r="M15" s="8">
        <f t="shared" si="6"/>
        <v>7908.5</v>
      </c>
      <c r="N15" s="41">
        <f t="shared" si="6"/>
        <v>11254</v>
      </c>
      <c r="O15" s="8">
        <f t="shared" si="6"/>
        <v>9277</v>
      </c>
      <c r="P15" s="8">
        <f t="shared" si="6"/>
        <v>13079</v>
      </c>
      <c r="Q15" s="8">
        <f t="shared" si="6"/>
        <v>20683.5</v>
      </c>
      <c r="R15" s="41">
        <f t="shared" si="6"/>
        <v>29960.5</v>
      </c>
    </row>
    <row r="16" spans="1:18" x14ac:dyDescent="0.3">
      <c r="A16" s="3" t="s">
        <v>31</v>
      </c>
      <c r="C16" s="24">
        <f>SUM(C10:C15)</f>
        <v>4709.5138888888887</v>
      </c>
      <c r="D16" s="24">
        <f t="shared" ref="D16:E16" si="7">SUM(D10:D15)</f>
        <v>9413.8666666666668</v>
      </c>
      <c r="E16" s="24">
        <f t="shared" si="7"/>
        <v>18843.216666666667</v>
      </c>
      <c r="F16" s="42">
        <f>SUM(F10:F15)</f>
        <v>23550.15</v>
      </c>
      <c r="G16" s="24">
        <f>SUM(G10:G15)</f>
        <v>30146.050000000003</v>
      </c>
      <c r="H16" s="24">
        <f t="shared" ref="H16" si="8">SUM(H10:H15)</f>
        <v>48973.783333333333</v>
      </c>
      <c r="I16" s="24">
        <f t="shared" ref="I16" si="9">SUM(I10:I15)</f>
        <v>86660.216666666674</v>
      </c>
      <c r="J16" s="42">
        <f>SUM(J10:J15)</f>
        <v>116790.78333333334</v>
      </c>
      <c r="K16" s="24">
        <f>SUM(K10:K15)</f>
        <v>103614.46666666667</v>
      </c>
      <c r="L16" s="24">
        <f t="shared" ref="L16" si="10">SUM(L10:L15)</f>
        <v>150699.28333333335</v>
      </c>
      <c r="M16" s="24">
        <f t="shared" ref="M16" si="11">SUM(M10:M15)</f>
        <v>244899.88333333333</v>
      </c>
      <c r="N16" s="42">
        <f>SUM(N10:N15)</f>
        <v>348498.8666666667</v>
      </c>
      <c r="O16" s="24">
        <f>SUM(O10:O15)</f>
        <v>287277.76666666666</v>
      </c>
      <c r="P16" s="24">
        <f t="shared" ref="P16" si="12">SUM(P10:P15)</f>
        <v>405013.03333333333</v>
      </c>
      <c r="Q16" s="24">
        <f t="shared" ref="Q16" si="13">SUM(Q10:Q15)</f>
        <v>640499.05000000005</v>
      </c>
      <c r="R16" s="42">
        <f>SUM(R10:R15)</f>
        <v>927776.81666666665</v>
      </c>
    </row>
    <row r="17" spans="1:18" x14ac:dyDescent="0.3">
      <c r="F17" s="38"/>
      <c r="J17" s="38"/>
      <c r="N17" s="38"/>
      <c r="R17" s="38"/>
    </row>
    <row r="18" spans="1:18" x14ac:dyDescent="0.3">
      <c r="A18" s="43" t="s">
        <v>32</v>
      </c>
      <c r="B18" s="16"/>
      <c r="C18" s="25">
        <f>C7-C16</f>
        <v>2894.6527777777783</v>
      </c>
      <c r="D18" s="25">
        <f t="shared" ref="D18:R18" si="14">D7-D16</f>
        <v>5786.1333333333332</v>
      </c>
      <c r="E18" s="25">
        <f t="shared" si="14"/>
        <v>11581.783333333333</v>
      </c>
      <c r="F18" s="44">
        <f t="shared" si="14"/>
        <v>14474.849999999999</v>
      </c>
      <c r="G18" s="25">
        <f t="shared" si="14"/>
        <v>18528.949999999997</v>
      </c>
      <c r="H18" s="25">
        <f t="shared" si="14"/>
        <v>30101.216666666667</v>
      </c>
      <c r="I18" s="25">
        <f t="shared" si="14"/>
        <v>53264.783333333326</v>
      </c>
      <c r="J18" s="44">
        <f t="shared" si="14"/>
        <v>71784.21666666666</v>
      </c>
      <c r="K18" s="25">
        <f t="shared" si="14"/>
        <v>63685.533333333326</v>
      </c>
      <c r="L18" s="25">
        <f t="shared" si="14"/>
        <v>92625.716666666645</v>
      </c>
      <c r="M18" s="25">
        <f t="shared" si="14"/>
        <v>150525.11666666667</v>
      </c>
      <c r="N18" s="44">
        <f t="shared" si="14"/>
        <v>214201.1333333333</v>
      </c>
      <c r="O18" s="25">
        <f t="shared" si="14"/>
        <v>176572.23333333334</v>
      </c>
      <c r="P18" s="25">
        <f t="shared" si="14"/>
        <v>248936.96666666667</v>
      </c>
      <c r="Q18" s="25">
        <f t="shared" si="14"/>
        <v>393675.94999999995</v>
      </c>
      <c r="R18" s="44">
        <f t="shared" si="14"/>
        <v>570248.18333333335</v>
      </c>
    </row>
    <row r="19" spans="1:18" x14ac:dyDescent="0.3">
      <c r="A19" s="16" t="s">
        <v>33</v>
      </c>
      <c r="B19" s="16"/>
      <c r="C19" s="26">
        <f>C18/C7</f>
        <v>0.38066666666666671</v>
      </c>
      <c r="D19" s="26">
        <f t="shared" ref="D19:R19" si="15">D18/D7</f>
        <v>0.38066666666666665</v>
      </c>
      <c r="E19" s="26">
        <f t="shared" si="15"/>
        <v>0.38066666666666665</v>
      </c>
      <c r="F19" s="45">
        <f t="shared" si="15"/>
        <v>0.38066666666666665</v>
      </c>
      <c r="G19" s="26">
        <f t="shared" si="15"/>
        <v>0.3806666666666666</v>
      </c>
      <c r="H19" s="26">
        <f t="shared" si="15"/>
        <v>0.38066666666666665</v>
      </c>
      <c r="I19" s="26">
        <f t="shared" si="15"/>
        <v>0.3806666666666666</v>
      </c>
      <c r="J19" s="45">
        <f t="shared" si="15"/>
        <v>0.38066666666666665</v>
      </c>
      <c r="K19" s="26">
        <f t="shared" si="15"/>
        <v>0.3806666666666666</v>
      </c>
      <c r="L19" s="26">
        <f t="shared" si="15"/>
        <v>0.3806666666666666</v>
      </c>
      <c r="M19" s="26">
        <f t="shared" si="15"/>
        <v>0.38066666666666665</v>
      </c>
      <c r="N19" s="45">
        <f t="shared" si="15"/>
        <v>0.3806666666666666</v>
      </c>
      <c r="O19" s="26">
        <f t="shared" si="15"/>
        <v>0.38066666666666665</v>
      </c>
      <c r="P19" s="26">
        <f t="shared" si="15"/>
        <v>0.38066666666666665</v>
      </c>
      <c r="Q19" s="26">
        <f t="shared" si="15"/>
        <v>0.3806666666666666</v>
      </c>
      <c r="R19" s="45">
        <f t="shared" si="15"/>
        <v>0.38066666666666665</v>
      </c>
    </row>
    <row r="20" spans="1:18" x14ac:dyDescent="0.3">
      <c r="F20" s="38"/>
      <c r="J20" s="38"/>
      <c r="N20" s="38"/>
      <c r="R20" s="38"/>
    </row>
    <row r="21" spans="1:18" x14ac:dyDescent="0.3">
      <c r="A21" s="4" t="s">
        <v>34</v>
      </c>
      <c r="F21" s="38"/>
      <c r="J21" s="38"/>
      <c r="N21" s="38"/>
      <c r="R21" s="38"/>
    </row>
    <row r="22" spans="1:18" x14ac:dyDescent="0.3">
      <c r="A22" s="16" t="s">
        <v>36</v>
      </c>
      <c r="C22" s="8">
        <f>Expy1/4</f>
        <v>1500</v>
      </c>
      <c r="D22" s="8">
        <f>Expy1/4</f>
        <v>1500</v>
      </c>
      <c r="E22" s="8">
        <f>Expy1/4</f>
        <v>1500</v>
      </c>
      <c r="F22" s="41">
        <f>Expy1/4</f>
        <v>1500</v>
      </c>
      <c r="G22" s="8">
        <f>ExpY2/4</f>
        <v>12500</v>
      </c>
      <c r="H22" s="8">
        <f>ExpY2/4</f>
        <v>12500</v>
      </c>
      <c r="I22" s="8">
        <f>ExpY2/4</f>
        <v>12500</v>
      </c>
      <c r="J22" s="41">
        <f>ExpY2/4</f>
        <v>12500</v>
      </c>
      <c r="K22" s="8">
        <f>ExpY3/4</f>
        <v>30000</v>
      </c>
      <c r="L22" s="8">
        <f>ExpY3/4</f>
        <v>30000</v>
      </c>
      <c r="M22" s="8">
        <f>ExpY3/4</f>
        <v>30000</v>
      </c>
      <c r="N22" s="41">
        <f>ExpY3/4</f>
        <v>30000</v>
      </c>
      <c r="O22" s="8">
        <f>ExpY4/4</f>
        <v>60000</v>
      </c>
      <c r="P22" s="8">
        <f>ExpY4/4</f>
        <v>60000</v>
      </c>
      <c r="Q22" s="8">
        <f>ExpY4/4</f>
        <v>60000</v>
      </c>
      <c r="R22" s="41">
        <f>ExpY4/4</f>
        <v>60000</v>
      </c>
    </row>
    <row r="23" spans="1:18" x14ac:dyDescent="0.3">
      <c r="A23" s="16" t="s">
        <v>35</v>
      </c>
      <c r="C23" s="8">
        <f>SalaryY1/4</f>
        <v>0</v>
      </c>
      <c r="D23" s="8">
        <f>SalaryY1/4</f>
        <v>0</v>
      </c>
      <c r="E23" s="8">
        <f>SalaryY1/4</f>
        <v>0</v>
      </c>
      <c r="F23" s="41">
        <f>SalaryY1/4</f>
        <v>0</v>
      </c>
      <c r="G23" s="8">
        <f>SalaryY2/4</f>
        <v>0</v>
      </c>
      <c r="H23" s="8">
        <f>SalaryY2/4</f>
        <v>0</v>
      </c>
      <c r="I23" s="8">
        <f>SalaryY2/4</f>
        <v>0</v>
      </c>
      <c r="J23" s="41">
        <f>SalaryY2/4</f>
        <v>0</v>
      </c>
      <c r="K23" s="8">
        <f>Salaryy3/4</f>
        <v>0</v>
      </c>
      <c r="L23" s="8">
        <f>Salaryy3/4</f>
        <v>0</v>
      </c>
      <c r="M23" s="8">
        <f>Salaryy3/4</f>
        <v>0</v>
      </c>
      <c r="N23" s="41">
        <f>Salaryy3/4</f>
        <v>0</v>
      </c>
      <c r="O23" s="8">
        <f>SalaryY4/4</f>
        <v>0</v>
      </c>
      <c r="P23" s="8">
        <f>SalaryY4/4</f>
        <v>0</v>
      </c>
      <c r="Q23" s="8">
        <f>SalaryY4/4</f>
        <v>0</v>
      </c>
      <c r="R23" s="41">
        <f>SalaryY4/4</f>
        <v>0</v>
      </c>
    </row>
    <row r="24" spans="1:18" x14ac:dyDescent="0.3">
      <c r="F24" s="38"/>
      <c r="J24" s="38"/>
      <c r="N24" s="38"/>
      <c r="R24" s="38"/>
    </row>
    <row r="25" spans="1:18" x14ac:dyDescent="0.3">
      <c r="A25" s="3" t="s">
        <v>37</v>
      </c>
      <c r="C25" s="27">
        <f>SUM(C22:C24)</f>
        <v>1500</v>
      </c>
      <c r="D25" s="27">
        <f t="shared" ref="D25:E25" si="16">SUM(D22:D24)</f>
        <v>1500</v>
      </c>
      <c r="E25" s="27">
        <f t="shared" si="16"/>
        <v>1500</v>
      </c>
      <c r="F25" s="46">
        <f>SUM(F22:F24)</f>
        <v>1500</v>
      </c>
      <c r="G25" s="27">
        <f>SUM(G22:G24)</f>
        <v>12500</v>
      </c>
      <c r="H25" s="27">
        <f t="shared" ref="H25" si="17">SUM(H22:H24)</f>
        <v>12500</v>
      </c>
      <c r="I25" s="27">
        <f t="shared" ref="I25" si="18">SUM(I22:I24)</f>
        <v>12500</v>
      </c>
      <c r="J25" s="46">
        <f>SUM(J22:J24)</f>
        <v>12500</v>
      </c>
      <c r="K25" s="27">
        <f>SUM(K22:K24)</f>
        <v>30000</v>
      </c>
      <c r="L25" s="27">
        <f t="shared" ref="L25" si="19">SUM(L22:L24)</f>
        <v>30000</v>
      </c>
      <c r="M25" s="27">
        <f t="shared" ref="M25" si="20">SUM(M22:M24)</f>
        <v>30000</v>
      </c>
      <c r="N25" s="46">
        <f>SUM(N22:N24)</f>
        <v>30000</v>
      </c>
      <c r="O25" s="27">
        <f>SUM(O22:O24)</f>
        <v>60000</v>
      </c>
      <c r="P25" s="27">
        <f t="shared" ref="P25" si="21">SUM(P22:P24)</f>
        <v>60000</v>
      </c>
      <c r="Q25" s="27">
        <f t="shared" ref="Q25" si="22">SUM(Q22:Q24)</f>
        <v>60000</v>
      </c>
      <c r="R25" s="46">
        <f>SUM(R22:R24)</f>
        <v>60000</v>
      </c>
    </row>
    <row r="26" spans="1:18" x14ac:dyDescent="0.3">
      <c r="F26" s="38"/>
      <c r="J26" s="38"/>
      <c r="N26" s="38"/>
      <c r="R26" s="38"/>
    </row>
    <row r="27" spans="1:18" x14ac:dyDescent="0.3">
      <c r="A27" s="3" t="s">
        <v>38</v>
      </c>
      <c r="C27" s="25">
        <f t="shared" ref="C27:R27" si="23">C18-C25</f>
        <v>1394.6527777777783</v>
      </c>
      <c r="D27" s="25">
        <f t="shared" si="23"/>
        <v>4286.1333333333332</v>
      </c>
      <c r="E27" s="25">
        <f t="shared" si="23"/>
        <v>10081.783333333333</v>
      </c>
      <c r="F27" s="44">
        <f t="shared" si="23"/>
        <v>12974.849999999999</v>
      </c>
      <c r="G27" s="25">
        <f t="shared" si="23"/>
        <v>6028.9499999999971</v>
      </c>
      <c r="H27" s="25">
        <f t="shared" si="23"/>
        <v>17601.216666666667</v>
      </c>
      <c r="I27" s="25">
        <f t="shared" si="23"/>
        <v>40764.783333333326</v>
      </c>
      <c r="J27" s="44">
        <f t="shared" si="23"/>
        <v>59284.21666666666</v>
      </c>
      <c r="K27" s="25">
        <f t="shared" si="23"/>
        <v>33685.533333333326</v>
      </c>
      <c r="L27" s="25">
        <f t="shared" si="23"/>
        <v>62625.716666666645</v>
      </c>
      <c r="M27" s="25">
        <f t="shared" si="23"/>
        <v>120525.11666666667</v>
      </c>
      <c r="N27" s="44">
        <f t="shared" si="23"/>
        <v>184201.1333333333</v>
      </c>
      <c r="O27" s="25">
        <f t="shared" si="23"/>
        <v>116572.23333333334</v>
      </c>
      <c r="P27" s="25">
        <f t="shared" si="23"/>
        <v>188936.96666666667</v>
      </c>
      <c r="Q27" s="25">
        <f t="shared" si="23"/>
        <v>333675.94999999995</v>
      </c>
      <c r="R27" s="44">
        <f t="shared" si="23"/>
        <v>510248.18333333335</v>
      </c>
    </row>
    <row r="28" spans="1:18" x14ac:dyDescent="0.3">
      <c r="F28" s="38"/>
      <c r="J28" s="38"/>
      <c r="N28" s="38"/>
      <c r="R28" s="38"/>
    </row>
    <row r="29" spans="1:18" x14ac:dyDescent="0.3">
      <c r="A29" s="3" t="s">
        <v>39</v>
      </c>
      <c r="C29" s="28">
        <f t="shared" ref="C29:R29" si="24">C27*tax</f>
        <v>348.66319444444457</v>
      </c>
      <c r="D29" s="28">
        <f t="shared" si="24"/>
        <v>1071.5333333333333</v>
      </c>
      <c r="E29" s="28">
        <f t="shared" si="24"/>
        <v>2520.4458333333332</v>
      </c>
      <c r="F29" s="47">
        <f t="shared" si="24"/>
        <v>3243.7124999999996</v>
      </c>
      <c r="G29" s="28">
        <f t="shared" si="24"/>
        <v>1507.2374999999993</v>
      </c>
      <c r="H29" s="28">
        <f t="shared" si="24"/>
        <v>4400.3041666666668</v>
      </c>
      <c r="I29" s="28">
        <f t="shared" si="24"/>
        <v>10191.195833333331</v>
      </c>
      <c r="J29" s="47">
        <f t="shared" si="24"/>
        <v>14821.054166666665</v>
      </c>
      <c r="K29" s="28">
        <f t="shared" si="24"/>
        <v>8421.3833333333314</v>
      </c>
      <c r="L29" s="28">
        <f t="shared" si="24"/>
        <v>15656.429166666661</v>
      </c>
      <c r="M29" s="28">
        <f t="shared" si="24"/>
        <v>30131.279166666667</v>
      </c>
      <c r="N29" s="47">
        <f t="shared" si="24"/>
        <v>46050.283333333326</v>
      </c>
      <c r="O29" s="28">
        <f t="shared" si="24"/>
        <v>29143.058333333334</v>
      </c>
      <c r="P29" s="28">
        <f t="shared" si="24"/>
        <v>47234.241666666669</v>
      </c>
      <c r="Q29" s="28">
        <f t="shared" si="24"/>
        <v>83418.987499999988</v>
      </c>
      <c r="R29" s="47">
        <f t="shared" si="24"/>
        <v>127562.04583333334</v>
      </c>
    </row>
    <row r="30" spans="1:18" x14ac:dyDescent="0.3">
      <c r="F30" s="38"/>
      <c r="J30" s="38"/>
      <c r="N30" s="38"/>
      <c r="R30" s="38"/>
    </row>
    <row r="31" spans="1:18" ht="17.25" thickBot="1" x14ac:dyDescent="0.35">
      <c r="A31" s="3" t="s">
        <v>40</v>
      </c>
      <c r="C31" s="29">
        <f>C27-C29</f>
        <v>1045.9895833333337</v>
      </c>
      <c r="D31" s="29">
        <f t="shared" ref="D31:R31" si="25">D27-D29</f>
        <v>3214.6</v>
      </c>
      <c r="E31" s="29">
        <f t="shared" si="25"/>
        <v>7561.3374999999996</v>
      </c>
      <c r="F31" s="48">
        <f t="shared" si="25"/>
        <v>9731.1374999999989</v>
      </c>
      <c r="G31" s="29">
        <f t="shared" si="25"/>
        <v>4521.7124999999978</v>
      </c>
      <c r="H31" s="29">
        <f t="shared" si="25"/>
        <v>13200.9125</v>
      </c>
      <c r="I31" s="29">
        <f t="shared" si="25"/>
        <v>30573.587499999994</v>
      </c>
      <c r="J31" s="48">
        <f t="shared" si="25"/>
        <v>44463.162499999991</v>
      </c>
      <c r="K31" s="29">
        <f t="shared" si="25"/>
        <v>25264.149999999994</v>
      </c>
      <c r="L31" s="29">
        <f t="shared" si="25"/>
        <v>46969.287499999984</v>
      </c>
      <c r="M31" s="29">
        <f t="shared" si="25"/>
        <v>90393.837499999994</v>
      </c>
      <c r="N31" s="48">
        <f t="shared" si="25"/>
        <v>138150.84999999998</v>
      </c>
      <c r="O31" s="29">
        <f t="shared" si="25"/>
        <v>87429.175000000003</v>
      </c>
      <c r="P31" s="29">
        <f t="shared" si="25"/>
        <v>141702.72500000001</v>
      </c>
      <c r="Q31" s="29">
        <f t="shared" si="25"/>
        <v>250256.96249999997</v>
      </c>
      <c r="R31" s="48">
        <f t="shared" si="25"/>
        <v>382686.13750000001</v>
      </c>
    </row>
    <row r="32" spans="1:18" ht="17.25" thickTop="1" x14ac:dyDescent="0.3"/>
    <row r="33" spans="1:18" ht="17.25" thickBot="1" x14ac:dyDescent="0.35">
      <c r="A33" s="3" t="s">
        <v>41</v>
      </c>
      <c r="C33" s="49">
        <f>C31</f>
        <v>1045.9895833333337</v>
      </c>
      <c r="D33" s="49">
        <f>D31+C33</f>
        <v>4260.5895833333334</v>
      </c>
      <c r="E33" s="49">
        <f t="shared" ref="E33:R33" si="26">E31+D33</f>
        <v>11821.927083333332</v>
      </c>
      <c r="F33" s="49">
        <f t="shared" si="26"/>
        <v>21553.064583333333</v>
      </c>
      <c r="G33" s="49">
        <f t="shared" si="26"/>
        <v>26074.777083333331</v>
      </c>
      <c r="H33" s="49">
        <f t="shared" si="26"/>
        <v>39275.689583333333</v>
      </c>
      <c r="I33" s="49">
        <f t="shared" si="26"/>
        <v>69849.27708333332</v>
      </c>
      <c r="J33" s="49">
        <f t="shared" si="26"/>
        <v>114312.43958333331</v>
      </c>
      <c r="K33" s="49">
        <f t="shared" si="26"/>
        <v>139576.58958333329</v>
      </c>
      <c r="L33" s="49">
        <f t="shared" si="26"/>
        <v>186545.87708333327</v>
      </c>
      <c r="M33" s="49">
        <f t="shared" si="26"/>
        <v>276939.71458333323</v>
      </c>
      <c r="N33" s="49">
        <f t="shared" si="26"/>
        <v>415090.56458333321</v>
      </c>
      <c r="O33" s="49">
        <f t="shared" si="26"/>
        <v>502519.7395833332</v>
      </c>
      <c r="P33" s="49">
        <f t="shared" si="26"/>
        <v>644222.46458333323</v>
      </c>
      <c r="Q33" s="49">
        <f t="shared" si="26"/>
        <v>894479.42708333326</v>
      </c>
      <c r="R33" s="49">
        <f t="shared" si="26"/>
        <v>1277165.5645833332</v>
      </c>
    </row>
    <row r="36" spans="1:18" x14ac:dyDescent="0.3">
      <c r="A36" s="4" t="s">
        <v>94</v>
      </c>
    </row>
    <row r="37" spans="1:18" x14ac:dyDescent="0.3">
      <c r="A37" s="3" t="s">
        <v>91</v>
      </c>
      <c r="C37" s="8">
        <f>Y0Units*Q1Sales</f>
        <v>0</v>
      </c>
      <c r="D37" s="8">
        <f>Y0Units*Q2Sales</f>
        <v>0</v>
      </c>
      <c r="E37" s="8">
        <f>Y0Units*Q3Sales</f>
        <v>0</v>
      </c>
      <c r="F37" s="8">
        <f>Y0Units*Q4Sales</f>
        <v>0</v>
      </c>
      <c r="G37" s="8">
        <f>Y1Units*Q1Sales</f>
        <v>730</v>
      </c>
      <c r="H37" s="8">
        <f>Y1Units*Q2Sales</f>
        <v>730</v>
      </c>
      <c r="I37" s="8">
        <f>Y1Units*Q3Sales</f>
        <v>730</v>
      </c>
      <c r="J37" s="8">
        <f>Y1Units*Q4Sales</f>
        <v>1460</v>
      </c>
      <c r="K37" s="8">
        <f>Y2Units*Q1Sales</f>
        <v>3650</v>
      </c>
      <c r="L37" s="8">
        <f>Y2Units*Q2Sales</f>
        <v>3650</v>
      </c>
      <c r="M37" s="8">
        <f>Y2Units*Q3Sales</f>
        <v>3650</v>
      </c>
      <c r="N37" s="8">
        <f>Y2Units*Q4Sales</f>
        <v>7300</v>
      </c>
      <c r="O37" s="8">
        <f>Y3Units*Q1Sales</f>
        <v>10950</v>
      </c>
      <c r="P37" s="8">
        <f>Y3Units*Q2Sales</f>
        <v>10950</v>
      </c>
      <c r="Q37" s="8">
        <f>Y3Units*Q3Sales</f>
        <v>10950</v>
      </c>
      <c r="R37" s="8">
        <f>Y3Units*Q4Sales</f>
        <v>21900</v>
      </c>
    </row>
    <row r="38" spans="1:18" x14ac:dyDescent="0.3">
      <c r="A38" s="3" t="s">
        <v>92</v>
      </c>
      <c r="C38" s="8">
        <f>Y1Inc*Q1Inc/IncYear</f>
        <v>304.16666666666669</v>
      </c>
      <c r="D38" s="8">
        <f>ROUND(Y1Inc*Q2Inc/IncYear,0)</f>
        <v>608</v>
      </c>
      <c r="E38" s="8">
        <f>ROUND(Y1Inc*Q3Inc/IncYear,0)</f>
        <v>1217</v>
      </c>
      <c r="F38" s="8">
        <f>ROUND(Y1Inc*Q4Inc/IncYear,0)</f>
        <v>1521</v>
      </c>
      <c r="G38" s="8">
        <f>ROUND(Y2Inc*Q1Inc/IncYear,0)</f>
        <v>1217</v>
      </c>
      <c r="H38" s="8">
        <f>ROUND(Y2Inc*Q2Inc/IncYear,0)</f>
        <v>2433</v>
      </c>
      <c r="I38" s="8">
        <f>ROUND(Y2Inc*Q3Inc/IncYear,0)</f>
        <v>4867</v>
      </c>
      <c r="J38" s="8">
        <f>ROUND(Y2Inc*Q4Inc/IncYear,0)</f>
        <v>6083</v>
      </c>
      <c r="K38" s="8">
        <f>ROUND(Y3Inc*Q1Inc/IncYear,0)</f>
        <v>3042</v>
      </c>
      <c r="L38" s="8">
        <f>ROUND(Y3Inc*Q2Inc/IncYear,0)</f>
        <v>6083</v>
      </c>
      <c r="M38" s="8">
        <f>ROUND(Y3Inc*Q3Inc/IncYear,0)</f>
        <v>12167</v>
      </c>
      <c r="N38" s="8">
        <f>ROUND(Y3Inc*Q4Inc/IncYear,0)</f>
        <v>15208</v>
      </c>
      <c r="O38" s="8">
        <f>ROUND(y4Inc*Q1Inc/IncYear,0)</f>
        <v>7604</v>
      </c>
      <c r="P38" s="8">
        <f>ROUND(y4Inc*Q2Inc/IncYear,0)</f>
        <v>15208</v>
      </c>
      <c r="Q38" s="8">
        <f>ROUND(y4Inc*Q3Inc/IncYear,0)</f>
        <v>30417</v>
      </c>
      <c r="R38" s="8">
        <f>ROUND(y4Inc*Q4Inc/IncYear,0)</f>
        <v>38021</v>
      </c>
    </row>
    <row r="40" spans="1:18" ht="17.25" thickBot="1" x14ac:dyDescent="0.35">
      <c r="A40" s="3" t="s">
        <v>95</v>
      </c>
      <c r="C40" s="50">
        <f>SUM(C37:C39)</f>
        <v>304.16666666666669</v>
      </c>
      <c r="D40" s="50">
        <f t="shared" ref="D40:R40" si="27">SUM(D37:D39)</f>
        <v>608</v>
      </c>
      <c r="E40" s="50">
        <f t="shared" si="27"/>
        <v>1217</v>
      </c>
      <c r="F40" s="50">
        <f t="shared" si="27"/>
        <v>1521</v>
      </c>
      <c r="G40" s="50">
        <f t="shared" si="27"/>
        <v>1947</v>
      </c>
      <c r="H40" s="50">
        <f t="shared" si="27"/>
        <v>3163</v>
      </c>
      <c r="I40" s="50">
        <f t="shared" si="27"/>
        <v>5597</v>
      </c>
      <c r="J40" s="50">
        <f t="shared" si="27"/>
        <v>7543</v>
      </c>
      <c r="K40" s="50">
        <f t="shared" si="27"/>
        <v>6692</v>
      </c>
      <c r="L40" s="50">
        <f t="shared" si="27"/>
        <v>9733</v>
      </c>
      <c r="M40" s="50">
        <f t="shared" si="27"/>
        <v>15817</v>
      </c>
      <c r="N40" s="50">
        <f t="shared" si="27"/>
        <v>22508</v>
      </c>
      <c r="O40" s="50">
        <f t="shared" si="27"/>
        <v>18554</v>
      </c>
      <c r="P40" s="50">
        <f t="shared" si="27"/>
        <v>26158</v>
      </c>
      <c r="Q40" s="50">
        <f t="shared" si="27"/>
        <v>41367</v>
      </c>
      <c r="R40" s="50">
        <f t="shared" si="27"/>
        <v>59921</v>
      </c>
    </row>
    <row r="41" spans="1:18" ht="17.25" thickTop="1" x14ac:dyDescent="0.3"/>
  </sheetData>
  <mergeCells count="4">
    <mergeCell ref="C2:F2"/>
    <mergeCell ref="G2:J2"/>
    <mergeCell ref="K2:N2"/>
    <mergeCell ref="O2:R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5"/>
  <sheetViews>
    <sheetView showGridLines="0" workbookViewId="0">
      <selection activeCell="B18" sqref="B18"/>
    </sheetView>
  </sheetViews>
  <sheetFormatPr defaultRowHeight="16.5" x14ac:dyDescent="0.3"/>
  <cols>
    <col min="1" max="1" width="19.42578125" style="3" customWidth="1"/>
    <col min="2" max="8" width="10.140625" style="3" bestFit="1" customWidth="1"/>
    <col min="9" max="17" width="11.140625" style="3" bestFit="1" customWidth="1"/>
    <col min="18" max="16384" width="9.140625" style="3"/>
  </cols>
  <sheetData>
    <row r="1" spans="1:17" ht="23.25" x14ac:dyDescent="0.35">
      <c r="A1" s="20" t="s">
        <v>131</v>
      </c>
    </row>
    <row r="3" spans="1:17" x14ac:dyDescent="0.3">
      <c r="B3" s="93" t="s">
        <v>19</v>
      </c>
      <c r="C3" s="93"/>
      <c r="D3" s="93"/>
      <c r="E3" s="93"/>
      <c r="F3" s="93" t="s">
        <v>20</v>
      </c>
      <c r="G3" s="93"/>
      <c r="H3" s="93"/>
      <c r="I3" s="93"/>
      <c r="J3" s="93" t="s">
        <v>21</v>
      </c>
      <c r="K3" s="93"/>
      <c r="L3" s="93"/>
      <c r="M3" s="93"/>
      <c r="N3" s="93" t="s">
        <v>22</v>
      </c>
      <c r="O3" s="93"/>
      <c r="P3" s="93"/>
      <c r="Q3" s="93"/>
    </row>
    <row r="4" spans="1:17" x14ac:dyDescent="0.3">
      <c r="B4" s="56" t="s">
        <v>15</v>
      </c>
      <c r="C4" s="56" t="s">
        <v>16</v>
      </c>
      <c r="D4" s="56" t="s">
        <v>17</v>
      </c>
      <c r="E4" s="61" t="s">
        <v>18</v>
      </c>
      <c r="F4" s="56" t="s">
        <v>15</v>
      </c>
      <c r="G4" s="56" t="s">
        <v>16</v>
      </c>
      <c r="H4" s="56" t="s">
        <v>17</v>
      </c>
      <c r="I4" s="61" t="s">
        <v>18</v>
      </c>
      <c r="J4" s="56" t="s">
        <v>15</v>
      </c>
      <c r="K4" s="56" t="s">
        <v>16</v>
      </c>
      <c r="L4" s="56" t="s">
        <v>17</v>
      </c>
      <c r="M4" s="61" t="s">
        <v>18</v>
      </c>
      <c r="N4" s="56" t="s">
        <v>15</v>
      </c>
      <c r="O4" s="56" t="s">
        <v>16</v>
      </c>
      <c r="P4" s="56" t="s">
        <v>17</v>
      </c>
      <c r="Q4" s="61" t="s">
        <v>18</v>
      </c>
    </row>
    <row r="5" spans="1:17" x14ac:dyDescent="0.3">
      <c r="E5" s="38"/>
      <c r="I5" s="38"/>
      <c r="M5" s="38"/>
      <c r="Q5" s="38"/>
    </row>
    <row r="6" spans="1:17" ht="17.25" thickBot="1" x14ac:dyDescent="0.35">
      <c r="A6" s="3" t="s">
        <v>49</v>
      </c>
      <c r="B6" s="62">
        <f>'Balance Sheet'!B5</f>
        <v>12000</v>
      </c>
      <c r="C6" s="62">
        <f>B24</f>
        <v>7782.345085470085</v>
      </c>
      <c r="D6" s="62">
        <f t="shared" ref="D6:Q6" si="0">C24</f>
        <v>6446.9399572649554</v>
      </c>
      <c r="E6" s="63">
        <f t="shared" si="0"/>
        <v>13722.569444444445</v>
      </c>
      <c r="F6" s="62">
        <f t="shared" si="0"/>
        <v>22765.111752136752</v>
      </c>
      <c r="G6" s="62">
        <f t="shared" si="0"/>
        <v>15773.357652243587</v>
      </c>
      <c r="H6" s="62">
        <f t="shared" si="0"/>
        <v>9110.7932959401769</v>
      </c>
      <c r="I6" s="63">
        <f t="shared" si="0"/>
        <v>30116.410990918808</v>
      </c>
      <c r="J6" s="62">
        <f t="shared" si="0"/>
        <v>95459.923557692324</v>
      </c>
      <c r="K6" s="62">
        <f t="shared" si="0"/>
        <v>93344.739743589773</v>
      </c>
      <c r="L6" s="62">
        <f t="shared" si="0"/>
        <v>92080.508493589761</v>
      </c>
      <c r="M6" s="63">
        <f t="shared" si="0"/>
        <v>143112.60032051284</v>
      </c>
      <c r="N6" s="62">
        <f t="shared" si="0"/>
        <v>356082.24727564101</v>
      </c>
      <c r="O6" s="62">
        <f t="shared" si="0"/>
        <v>377398.86762820516</v>
      </c>
      <c r="P6" s="62">
        <f t="shared" si="0"/>
        <v>400880.22131410259</v>
      </c>
      <c r="Q6" s="63">
        <f t="shared" si="0"/>
        <v>538223.63525641011</v>
      </c>
    </row>
    <row r="7" spans="1:17" ht="17.25" thickTop="1" x14ac:dyDescent="0.3">
      <c r="A7" s="4" t="s">
        <v>51</v>
      </c>
      <c r="E7" s="38"/>
      <c r="I7" s="38"/>
      <c r="M7" s="38"/>
      <c r="Q7" s="38"/>
    </row>
    <row r="8" spans="1:17" x14ac:dyDescent="0.3">
      <c r="A8" s="16" t="s">
        <v>50</v>
      </c>
      <c r="B8" s="8">
        <f>'Profit &amp; Loss'!C7</f>
        <v>7604.166666666667</v>
      </c>
      <c r="C8" s="8">
        <f>'Profit &amp; Loss'!D7</f>
        <v>15200</v>
      </c>
      <c r="D8" s="8">
        <f>'Profit &amp; Loss'!E7</f>
        <v>30425</v>
      </c>
      <c r="E8" s="41">
        <f>'Profit &amp; Loss'!F7</f>
        <v>38025</v>
      </c>
      <c r="F8" s="8">
        <f>'Profit &amp; Loss'!G7</f>
        <v>48675</v>
      </c>
      <c r="G8" s="8">
        <f>'Profit &amp; Loss'!H7</f>
        <v>79075</v>
      </c>
      <c r="H8" s="8">
        <f>'Profit &amp; Loss'!I7</f>
        <v>139925</v>
      </c>
      <c r="I8" s="41">
        <f>'Profit &amp; Loss'!J7</f>
        <v>188575</v>
      </c>
      <c r="J8" s="8">
        <f>'Profit &amp; Loss'!K7</f>
        <v>167300</v>
      </c>
      <c r="K8" s="8">
        <f>'Profit &amp; Loss'!L7</f>
        <v>243325</v>
      </c>
      <c r="L8" s="8">
        <f>'Profit &amp; Loss'!M7</f>
        <v>395425</v>
      </c>
      <c r="M8" s="41">
        <f>'Profit &amp; Loss'!N7</f>
        <v>562700</v>
      </c>
      <c r="N8" s="8">
        <f>'Profit &amp; Loss'!O7</f>
        <v>463850</v>
      </c>
      <c r="O8" s="8">
        <f>'Profit &amp; Loss'!P7</f>
        <v>653950</v>
      </c>
      <c r="P8" s="8">
        <f>'Profit &amp; Loss'!Q7</f>
        <v>1034175</v>
      </c>
      <c r="Q8" s="41">
        <f>'Profit &amp; Loss'!R7</f>
        <v>1498025</v>
      </c>
    </row>
    <row r="9" spans="1:17" x14ac:dyDescent="0.3">
      <c r="E9" s="38"/>
      <c r="I9" s="38"/>
      <c r="M9" s="38"/>
      <c r="Q9" s="38"/>
    </row>
    <row r="10" spans="1:17" x14ac:dyDescent="0.3">
      <c r="A10" s="4" t="s">
        <v>52</v>
      </c>
      <c r="E10" s="38"/>
      <c r="I10" s="38"/>
      <c r="M10" s="38"/>
      <c r="Q10" s="38"/>
    </row>
    <row r="11" spans="1:17" x14ac:dyDescent="0.3">
      <c r="A11" s="16" t="s">
        <v>4</v>
      </c>
      <c r="B11" s="8">
        <f>'Profit &amp; Loss'!C13</f>
        <v>1140.625</v>
      </c>
      <c r="C11" s="8">
        <f>'Profit &amp; Loss'!D13</f>
        <v>2280</v>
      </c>
      <c r="D11" s="8">
        <f>'Profit &amp; Loss'!E13</f>
        <v>4563.75</v>
      </c>
      <c r="E11" s="41">
        <f>'Profit &amp; Loss'!F13</f>
        <v>5703.75</v>
      </c>
      <c r="F11" s="8">
        <f>'Profit &amp; Loss'!G13</f>
        <v>7301.25</v>
      </c>
      <c r="G11" s="8">
        <f>'Profit &amp; Loss'!H13</f>
        <v>11861.25</v>
      </c>
      <c r="H11" s="8">
        <f>'Profit &amp; Loss'!I13</f>
        <v>20988.75</v>
      </c>
      <c r="I11" s="41">
        <f>'Profit &amp; Loss'!J13</f>
        <v>28286.25</v>
      </c>
      <c r="J11" s="8">
        <f>'Profit &amp; Loss'!K13</f>
        <v>25095</v>
      </c>
      <c r="K11" s="8">
        <f>'Profit &amp; Loss'!L13</f>
        <v>36498.75</v>
      </c>
      <c r="L11" s="8">
        <f>'Profit &amp; Loss'!M13</f>
        <v>59313.75</v>
      </c>
      <c r="M11" s="41">
        <f>'Profit &amp; Loss'!N13</f>
        <v>84405</v>
      </c>
      <c r="N11" s="8">
        <f>'Profit &amp; Loss'!O13</f>
        <v>69577.5</v>
      </c>
      <c r="O11" s="8">
        <f>'Profit &amp; Loss'!P13</f>
        <v>98092.5</v>
      </c>
      <c r="P11" s="8">
        <f>'Profit &amp; Loss'!Q13</f>
        <v>155126.25</v>
      </c>
      <c r="Q11" s="41">
        <f>'Profit &amp; Loss'!R13</f>
        <v>224703.75</v>
      </c>
    </row>
    <row r="12" spans="1:17" x14ac:dyDescent="0.3">
      <c r="A12" s="16" t="s">
        <v>53</v>
      </c>
      <c r="B12" s="8">
        <f>'Profit &amp; Loss'!C12</f>
        <v>1490.416666666667</v>
      </c>
      <c r="C12" s="8">
        <f>'Profit &amp; Loss'!D12</f>
        <v>2979.2000000000003</v>
      </c>
      <c r="D12" s="8">
        <f>'Profit &amp; Loss'!E12</f>
        <v>5963.3</v>
      </c>
      <c r="E12" s="41">
        <f>'Profit &amp; Loss'!F12</f>
        <v>7452.9000000000005</v>
      </c>
      <c r="F12" s="8">
        <f>'Profit &amp; Loss'!G12</f>
        <v>9540.3000000000011</v>
      </c>
      <c r="G12" s="8">
        <f>'Profit &amp; Loss'!H12</f>
        <v>15498.7</v>
      </c>
      <c r="H12" s="8">
        <f>'Profit &amp; Loss'!I12</f>
        <v>27425.300000000003</v>
      </c>
      <c r="I12" s="41">
        <f>'Profit &amp; Loss'!J12</f>
        <v>36960.700000000004</v>
      </c>
      <c r="J12" s="8">
        <f>'Profit &amp; Loss'!K12</f>
        <v>32790.800000000003</v>
      </c>
      <c r="K12" s="8">
        <f>'Profit &amp; Loss'!L12</f>
        <v>47691.700000000004</v>
      </c>
      <c r="L12" s="8">
        <f>'Profit &amp; Loss'!M12</f>
        <v>77503.3</v>
      </c>
      <c r="M12" s="41">
        <f>'Profit &amp; Loss'!N12</f>
        <v>110289.20000000001</v>
      </c>
      <c r="N12" s="8">
        <f>'Profit &amp; Loss'!O12</f>
        <v>90914.6</v>
      </c>
      <c r="O12" s="8">
        <f>'Profit &amp; Loss'!P12</f>
        <v>128174.20000000001</v>
      </c>
      <c r="P12" s="8">
        <f>'Profit &amp; Loss'!Q12</f>
        <v>202698.30000000002</v>
      </c>
      <c r="Q12" s="41">
        <f>'Profit &amp; Loss'!R12</f>
        <v>293612.90000000002</v>
      </c>
    </row>
    <row r="13" spans="1:17" x14ac:dyDescent="0.3">
      <c r="A13" s="16" t="s">
        <v>5</v>
      </c>
      <c r="B13" s="8">
        <f>'Profit &amp; Loss'!C14</f>
        <v>101.38888888888891</v>
      </c>
      <c r="C13" s="8">
        <f>'Profit &amp; Loss'!D14</f>
        <v>202.66666666666669</v>
      </c>
      <c r="D13" s="8">
        <f>'Profit &amp; Loss'!E14</f>
        <v>405.66666666666669</v>
      </c>
      <c r="E13" s="41">
        <f>'Profit &amp; Loss'!F14</f>
        <v>507</v>
      </c>
      <c r="F13" s="8">
        <f>'Profit &amp; Loss'!G14</f>
        <v>649.00000000000011</v>
      </c>
      <c r="G13" s="8">
        <f>'Profit &amp; Loss'!H14</f>
        <v>1054.3333333333335</v>
      </c>
      <c r="H13" s="8">
        <f>'Profit &amp; Loss'!I14</f>
        <v>1865.666666666667</v>
      </c>
      <c r="I13" s="41">
        <f>'Profit &amp; Loss'!J14</f>
        <v>2514.3333333333335</v>
      </c>
      <c r="J13" s="8">
        <f>'Profit &amp; Loss'!K14</f>
        <v>2230.666666666667</v>
      </c>
      <c r="K13" s="8">
        <f>'Profit &amp; Loss'!L14</f>
        <v>3244.3333333333335</v>
      </c>
      <c r="L13" s="8">
        <f>'Profit &amp; Loss'!M14</f>
        <v>5272.3333333333339</v>
      </c>
      <c r="M13" s="41">
        <f>'Profit &amp; Loss'!N14</f>
        <v>7502.6666666666679</v>
      </c>
      <c r="N13" s="8">
        <f>'Profit &amp; Loss'!O14</f>
        <v>6184.666666666667</v>
      </c>
      <c r="O13" s="8">
        <f>'Profit &amp; Loss'!P14</f>
        <v>8719.3333333333339</v>
      </c>
      <c r="P13" s="8">
        <f>'Profit &amp; Loss'!Q14</f>
        <v>13789</v>
      </c>
      <c r="Q13" s="41">
        <f>'Profit &amp; Loss'!R14</f>
        <v>19973.666666666668</v>
      </c>
    </row>
    <row r="14" spans="1:17" x14ac:dyDescent="0.3">
      <c r="A14" s="16" t="s">
        <v>99</v>
      </c>
      <c r="B14" s="8">
        <f>'Profit &amp; Loss'!C15</f>
        <v>152.08333333333334</v>
      </c>
      <c r="C14" s="8">
        <f>'Profit &amp; Loss'!D15</f>
        <v>304</v>
      </c>
      <c r="D14" s="8">
        <f>'Profit &amp; Loss'!E15</f>
        <v>608.5</v>
      </c>
      <c r="E14" s="41">
        <f>'Profit &amp; Loss'!F15</f>
        <v>760.5</v>
      </c>
      <c r="F14" s="8">
        <f>'Profit &amp; Loss'!G15</f>
        <v>973.5</v>
      </c>
      <c r="G14" s="8">
        <f>'Profit &amp; Loss'!H15</f>
        <v>1581.5</v>
      </c>
      <c r="H14" s="8">
        <f>'Profit &amp; Loss'!I15</f>
        <v>2798.5</v>
      </c>
      <c r="I14" s="41">
        <f>'Profit &amp; Loss'!J15</f>
        <v>3771.5</v>
      </c>
      <c r="J14" s="8">
        <f>'Profit &amp; Loss'!K15</f>
        <v>3346</v>
      </c>
      <c r="K14" s="8">
        <f>'Profit &amp; Loss'!L15</f>
        <v>4866.5</v>
      </c>
      <c r="L14" s="8">
        <f>'Profit &amp; Loss'!M15</f>
        <v>7908.5</v>
      </c>
      <c r="M14" s="41">
        <f>'Profit &amp; Loss'!N15</f>
        <v>11254</v>
      </c>
      <c r="N14" s="8">
        <f>'Profit &amp; Loss'!O15</f>
        <v>9277</v>
      </c>
      <c r="O14" s="8">
        <f>'Profit &amp; Loss'!P15</f>
        <v>13079</v>
      </c>
      <c r="P14" s="8">
        <f>'Profit &amp; Loss'!Q15</f>
        <v>20683.5</v>
      </c>
      <c r="Q14" s="41">
        <f>'Profit &amp; Loss'!R15</f>
        <v>29960.5</v>
      </c>
    </row>
    <row r="15" spans="1:17" x14ac:dyDescent="0.3">
      <c r="A15" s="16" t="s">
        <v>36</v>
      </c>
      <c r="B15" s="8">
        <f>'Profit &amp; Loss'!C22</f>
        <v>1500</v>
      </c>
      <c r="C15" s="8">
        <f>'Profit &amp; Loss'!D22</f>
        <v>1500</v>
      </c>
      <c r="D15" s="8">
        <f>'Profit &amp; Loss'!E22</f>
        <v>1500</v>
      </c>
      <c r="E15" s="41">
        <f>'Profit &amp; Loss'!F22</f>
        <v>1500</v>
      </c>
      <c r="F15" s="8">
        <f>'Profit &amp; Loss'!G22</f>
        <v>12500</v>
      </c>
      <c r="G15" s="8">
        <f>'Profit &amp; Loss'!H22</f>
        <v>12500</v>
      </c>
      <c r="H15" s="8">
        <f>'Profit &amp; Loss'!I22</f>
        <v>12500</v>
      </c>
      <c r="I15" s="41">
        <f>'Profit &amp; Loss'!J22</f>
        <v>12500</v>
      </c>
      <c r="J15" s="8">
        <f>'Profit &amp; Loss'!K22</f>
        <v>30000</v>
      </c>
      <c r="K15" s="8">
        <f>'Profit &amp; Loss'!L22</f>
        <v>30000</v>
      </c>
      <c r="L15" s="8">
        <f>'Profit &amp; Loss'!M22</f>
        <v>30000</v>
      </c>
      <c r="M15" s="41">
        <f>'Profit &amp; Loss'!N22</f>
        <v>30000</v>
      </c>
      <c r="N15" s="8">
        <f>'Profit &amp; Loss'!O22</f>
        <v>60000</v>
      </c>
      <c r="O15" s="8">
        <f>'Profit &amp; Loss'!P22</f>
        <v>60000</v>
      </c>
      <c r="P15" s="8">
        <f>'Profit &amp; Loss'!Q22</f>
        <v>60000</v>
      </c>
      <c r="Q15" s="41">
        <f>'Profit &amp; Loss'!R22</f>
        <v>60000</v>
      </c>
    </row>
    <row r="16" spans="1:17" x14ac:dyDescent="0.3">
      <c r="A16" s="16" t="s">
        <v>35</v>
      </c>
      <c r="B16" s="8">
        <f>'Profit &amp; Loss'!C23</f>
        <v>0</v>
      </c>
      <c r="C16" s="8">
        <f>'Profit &amp; Loss'!D23</f>
        <v>0</v>
      </c>
      <c r="D16" s="8">
        <f>'Profit &amp; Loss'!E23</f>
        <v>0</v>
      </c>
      <c r="E16" s="41">
        <f>'Profit &amp; Loss'!F23</f>
        <v>0</v>
      </c>
      <c r="F16" s="8">
        <f>'Profit &amp; Loss'!G23</f>
        <v>0</v>
      </c>
      <c r="G16" s="8">
        <f>'Profit &amp; Loss'!H23</f>
        <v>0</v>
      </c>
      <c r="H16" s="8">
        <f>'Profit &amp; Loss'!I23</f>
        <v>0</v>
      </c>
      <c r="I16" s="41">
        <f>'Profit &amp; Loss'!J23</f>
        <v>0</v>
      </c>
      <c r="J16" s="8">
        <f>'Profit &amp; Loss'!K23</f>
        <v>0</v>
      </c>
      <c r="K16" s="8">
        <f>'Profit &amp; Loss'!L23</f>
        <v>0</v>
      </c>
      <c r="L16" s="8">
        <f>'Profit &amp; Loss'!M23</f>
        <v>0</v>
      </c>
      <c r="M16" s="41">
        <f>'Profit &amp; Loss'!N23</f>
        <v>0</v>
      </c>
      <c r="N16" s="8">
        <f>'Profit &amp; Loss'!O23</f>
        <v>0</v>
      </c>
      <c r="O16" s="8">
        <f>'Profit &amp; Loss'!P23</f>
        <v>0</v>
      </c>
      <c r="P16" s="8">
        <f>'Profit &amp; Loss'!Q23</f>
        <v>0</v>
      </c>
      <c r="Q16" s="41">
        <f>'Profit &amp; Loss'!R23</f>
        <v>0</v>
      </c>
    </row>
    <row r="17" spans="1:17" x14ac:dyDescent="0.3">
      <c r="A17" s="16" t="s">
        <v>58</v>
      </c>
      <c r="B17" s="8">
        <f>'Balance Sheet'!$B$11/4</f>
        <v>0</v>
      </c>
      <c r="C17" s="8">
        <f>'Balance Sheet'!$B$11/4</f>
        <v>0</v>
      </c>
      <c r="D17" s="8">
        <f>'Balance Sheet'!$B$11/4</f>
        <v>0</v>
      </c>
      <c r="E17" s="41">
        <f>'Balance Sheet'!$B$11/4</f>
        <v>0</v>
      </c>
      <c r="F17" s="8">
        <f>SUM('Profit &amp; Loss'!$C$29:$F$29)/4</f>
        <v>1796.0887152777777</v>
      </c>
      <c r="G17" s="8">
        <f>SUM('Profit &amp; Loss'!$C$29:$F$29)/4</f>
        <v>1796.0887152777777</v>
      </c>
      <c r="H17" s="8">
        <f>SUM('Profit &amp; Loss'!$C$29:$F$29)/4</f>
        <v>1796.0887152777777</v>
      </c>
      <c r="I17" s="41">
        <f>SUM('Profit &amp; Loss'!$C$29:$F$29)/4</f>
        <v>1796.0887152777777</v>
      </c>
      <c r="J17" s="8">
        <f>SUM('Profit &amp; Loss'!$G$29:$J$29)/4</f>
        <v>7729.9479166666661</v>
      </c>
      <c r="K17" s="8">
        <f>SUM('Profit &amp; Loss'!$G$29:$J$29)/4</f>
        <v>7729.9479166666661</v>
      </c>
      <c r="L17" s="8">
        <f>SUM('Profit &amp; Loss'!$G$29:$J$29)/4</f>
        <v>7729.9479166666661</v>
      </c>
      <c r="M17" s="41">
        <f>SUM('Profit &amp; Loss'!$G$29:$J$29)/4</f>
        <v>7729.9479166666661</v>
      </c>
      <c r="N17" s="8">
        <f>SUM('Profit &amp; Loss'!$K$29:$N$29)/4</f>
        <v>25064.843749999996</v>
      </c>
      <c r="O17" s="8">
        <f>SUM('Profit &amp; Loss'!$K$29:$N$29)/4</f>
        <v>25064.843749999996</v>
      </c>
      <c r="P17" s="8">
        <f>SUM('Profit &amp; Loss'!$K$29:$N$29)/4</f>
        <v>25064.843749999996</v>
      </c>
      <c r="Q17" s="41">
        <f>SUM('Profit &amp; Loss'!$K$29:$N$29)/4</f>
        <v>25064.843749999996</v>
      </c>
    </row>
    <row r="18" spans="1:17" x14ac:dyDescent="0.3">
      <c r="A18" s="16" t="s">
        <v>54</v>
      </c>
      <c r="B18" s="8">
        <f>Inventory!B8</f>
        <v>7437.3076923076924</v>
      </c>
      <c r="C18" s="8">
        <f>Inventory!C8</f>
        <v>9269.538461538461</v>
      </c>
      <c r="D18" s="8">
        <f>Inventory!D8</f>
        <v>10108.153846153846</v>
      </c>
      <c r="E18" s="41">
        <f>Inventory!E8</f>
        <v>13058.307692307691</v>
      </c>
      <c r="F18" s="8">
        <f>Inventory!F8</f>
        <v>22906.615384615387</v>
      </c>
      <c r="G18" s="8">
        <f>Inventory!G8</f>
        <v>41445.692307692298</v>
      </c>
      <c r="H18" s="8">
        <f>Inventory!H8</f>
        <v>51545.076923076929</v>
      </c>
      <c r="I18" s="41">
        <f>Inventory!I8</f>
        <v>37402.615384615376</v>
      </c>
      <c r="J18" s="8">
        <f>Inventory!J8</f>
        <v>68222.76923076922</v>
      </c>
      <c r="K18" s="8">
        <f>Inventory!K8</f>
        <v>114557.99999999999</v>
      </c>
      <c r="L18" s="8">
        <f>Inventory!L8</f>
        <v>156665.07692307697</v>
      </c>
      <c r="M18" s="41">
        <f>Inventory!M8</f>
        <v>98549.538461538468</v>
      </c>
      <c r="N18" s="8">
        <f>Inventory!N8</f>
        <v>181514.76923076919</v>
      </c>
      <c r="O18" s="8">
        <f>Inventory!O8</f>
        <v>297338.76923076925</v>
      </c>
      <c r="P18" s="8">
        <f>Inventory!P8</f>
        <v>419469.69230769237</v>
      </c>
      <c r="Q18" s="41">
        <f>Inventory!Q8</f>
        <v>188258.30769230763</v>
      </c>
    </row>
    <row r="19" spans="1:17" x14ac:dyDescent="0.3">
      <c r="B19" s="8"/>
      <c r="E19" s="38"/>
      <c r="I19" s="38"/>
      <c r="M19" s="38"/>
      <c r="Q19" s="38"/>
    </row>
    <row r="20" spans="1:17" x14ac:dyDescent="0.3">
      <c r="A20" s="16" t="s">
        <v>55</v>
      </c>
      <c r="B20" s="24">
        <f>SUM(B11:B19)</f>
        <v>11821.821581196582</v>
      </c>
      <c r="C20" s="24">
        <f t="shared" ref="C20:Q20" si="1">SUM(C11:C19)</f>
        <v>16535.40512820513</v>
      </c>
      <c r="D20" s="24">
        <f t="shared" si="1"/>
        <v>23149.370512820511</v>
      </c>
      <c r="E20" s="42">
        <f t="shared" si="1"/>
        <v>28982.457692307693</v>
      </c>
      <c r="F20" s="24">
        <f t="shared" si="1"/>
        <v>55666.754099893165</v>
      </c>
      <c r="G20" s="24">
        <f t="shared" si="1"/>
        <v>85737.56435630341</v>
      </c>
      <c r="H20" s="24">
        <f t="shared" si="1"/>
        <v>118919.38230502137</v>
      </c>
      <c r="I20" s="42">
        <f t="shared" si="1"/>
        <v>123231.48743322649</v>
      </c>
      <c r="J20" s="24">
        <f t="shared" si="1"/>
        <v>169415.18381410255</v>
      </c>
      <c r="K20" s="24">
        <f t="shared" si="1"/>
        <v>244589.23125000001</v>
      </c>
      <c r="L20" s="24">
        <f t="shared" si="1"/>
        <v>344392.90817307692</v>
      </c>
      <c r="M20" s="42">
        <f t="shared" si="1"/>
        <v>349730.35304487182</v>
      </c>
      <c r="N20" s="24">
        <f t="shared" si="1"/>
        <v>442533.37964743585</v>
      </c>
      <c r="O20" s="24">
        <f t="shared" si="1"/>
        <v>630468.64631410257</v>
      </c>
      <c r="P20" s="24">
        <f t="shared" si="1"/>
        <v>896831.58605769242</v>
      </c>
      <c r="Q20" s="42">
        <f t="shared" si="1"/>
        <v>841573.96810897428</v>
      </c>
    </row>
    <row r="21" spans="1:17" x14ac:dyDescent="0.3">
      <c r="B21" s="8"/>
      <c r="C21" s="8"/>
      <c r="D21" s="8"/>
      <c r="E21" s="41"/>
      <c r="F21" s="8"/>
      <c r="G21" s="8"/>
      <c r="H21" s="8"/>
      <c r="I21" s="41"/>
      <c r="J21" s="8"/>
      <c r="K21" s="8"/>
      <c r="L21" s="8"/>
      <c r="M21" s="41"/>
      <c r="N21" s="8"/>
      <c r="O21" s="8"/>
      <c r="P21" s="8"/>
      <c r="Q21" s="41"/>
    </row>
    <row r="22" spans="1:17" x14ac:dyDescent="0.3">
      <c r="A22" s="3" t="s">
        <v>56</v>
      </c>
      <c r="B22" s="24">
        <f>B8-B20</f>
        <v>-4217.654914529915</v>
      </c>
      <c r="C22" s="24">
        <f t="shared" ref="C22:Q22" si="2">C8-C20</f>
        <v>-1335.4051282051296</v>
      </c>
      <c r="D22" s="24">
        <f t="shared" si="2"/>
        <v>7275.6294871794889</v>
      </c>
      <c r="E22" s="42">
        <f t="shared" si="2"/>
        <v>9042.5423076923071</v>
      </c>
      <c r="F22" s="24">
        <f t="shared" si="2"/>
        <v>-6991.7540998931654</v>
      </c>
      <c r="G22" s="24">
        <f t="shared" si="2"/>
        <v>-6662.56435630341</v>
      </c>
      <c r="H22" s="24">
        <f t="shared" si="2"/>
        <v>21005.617694978631</v>
      </c>
      <c r="I22" s="42">
        <f t="shared" si="2"/>
        <v>65343.512566773512</v>
      </c>
      <c r="J22" s="24">
        <f t="shared" si="2"/>
        <v>-2115.183814102551</v>
      </c>
      <c r="K22" s="24">
        <f t="shared" si="2"/>
        <v>-1264.2312500000116</v>
      </c>
      <c r="L22" s="24">
        <f t="shared" si="2"/>
        <v>51032.091826923075</v>
      </c>
      <c r="M22" s="42">
        <f t="shared" si="2"/>
        <v>212969.64695512818</v>
      </c>
      <c r="N22" s="24">
        <f t="shared" si="2"/>
        <v>21316.620352564147</v>
      </c>
      <c r="O22" s="24">
        <f t="shared" si="2"/>
        <v>23481.353685897426</v>
      </c>
      <c r="P22" s="24">
        <f t="shared" si="2"/>
        <v>137343.41394230758</v>
      </c>
      <c r="Q22" s="42">
        <f t="shared" si="2"/>
        <v>656451.03189102572</v>
      </c>
    </row>
    <row r="23" spans="1:17" x14ac:dyDescent="0.3">
      <c r="B23" s="8"/>
      <c r="C23" s="8"/>
      <c r="D23" s="8"/>
      <c r="E23" s="41"/>
      <c r="F23" s="8"/>
      <c r="G23" s="8"/>
      <c r="H23" s="8"/>
      <c r="I23" s="41"/>
      <c r="J23" s="8"/>
      <c r="K23" s="8"/>
      <c r="L23" s="8"/>
      <c r="M23" s="41"/>
      <c r="N23" s="8"/>
      <c r="O23" s="8"/>
      <c r="P23" s="8"/>
      <c r="Q23" s="41"/>
    </row>
    <row r="24" spans="1:17" ht="17.25" thickBot="1" x14ac:dyDescent="0.35">
      <c r="A24" s="3" t="s">
        <v>57</v>
      </c>
      <c r="B24" s="62">
        <f>B6+B22</f>
        <v>7782.345085470085</v>
      </c>
      <c r="C24" s="62">
        <f t="shared" ref="C24:Q24" si="3">C6+C22</f>
        <v>6446.9399572649554</v>
      </c>
      <c r="D24" s="62">
        <f t="shared" si="3"/>
        <v>13722.569444444445</v>
      </c>
      <c r="E24" s="63">
        <f t="shared" si="3"/>
        <v>22765.111752136752</v>
      </c>
      <c r="F24" s="62">
        <f t="shared" si="3"/>
        <v>15773.357652243587</v>
      </c>
      <c r="G24" s="62">
        <f t="shared" si="3"/>
        <v>9110.7932959401769</v>
      </c>
      <c r="H24" s="62">
        <f t="shared" si="3"/>
        <v>30116.410990918808</v>
      </c>
      <c r="I24" s="63">
        <f t="shared" si="3"/>
        <v>95459.923557692324</v>
      </c>
      <c r="J24" s="62">
        <f t="shared" si="3"/>
        <v>93344.739743589773</v>
      </c>
      <c r="K24" s="62">
        <f t="shared" si="3"/>
        <v>92080.508493589761</v>
      </c>
      <c r="L24" s="62">
        <f t="shared" si="3"/>
        <v>143112.60032051284</v>
      </c>
      <c r="M24" s="63">
        <f t="shared" si="3"/>
        <v>356082.24727564101</v>
      </c>
      <c r="N24" s="62">
        <f t="shared" si="3"/>
        <v>377398.86762820516</v>
      </c>
      <c r="O24" s="62">
        <f t="shared" si="3"/>
        <v>400880.22131410259</v>
      </c>
      <c r="P24" s="62">
        <f t="shared" si="3"/>
        <v>538223.63525641011</v>
      </c>
      <c r="Q24" s="63">
        <f t="shared" si="3"/>
        <v>1194674.6671474357</v>
      </c>
    </row>
    <row r="25" spans="1:17" ht="17.25" thickTop="1" x14ac:dyDescent="0.3"/>
  </sheetData>
  <mergeCells count="4">
    <mergeCell ref="B3:E3"/>
    <mergeCell ref="F3:I3"/>
    <mergeCell ref="J3:M3"/>
    <mergeCell ref="N3:Q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3"/>
  <sheetViews>
    <sheetView workbookViewId="0">
      <selection activeCell="B8" sqref="B8"/>
    </sheetView>
  </sheetViews>
  <sheetFormatPr defaultColWidth="8.7109375" defaultRowHeight="16.5" x14ac:dyDescent="0.3"/>
  <cols>
    <col min="1" max="1" width="26.85546875" style="3" customWidth="1"/>
    <col min="2" max="2" width="11.28515625" style="3" bestFit="1" customWidth="1"/>
    <col min="3" max="9" width="10.140625" style="3" bestFit="1" customWidth="1"/>
    <col min="10" max="17" width="11.140625" style="3" bestFit="1" customWidth="1"/>
    <col min="18" max="16384" width="8.7109375" style="3"/>
  </cols>
  <sheetData>
    <row r="1" spans="1:18" ht="18.75" x14ac:dyDescent="0.3">
      <c r="A1" s="53" t="s">
        <v>124</v>
      </c>
    </row>
    <row r="2" spans="1:18" x14ac:dyDescent="0.3">
      <c r="B2" s="93" t="s">
        <v>19</v>
      </c>
      <c r="C2" s="93"/>
      <c r="D2" s="93"/>
      <c r="E2" s="93"/>
      <c r="F2" s="93" t="s">
        <v>20</v>
      </c>
      <c r="G2" s="93"/>
      <c r="H2" s="93"/>
      <c r="I2" s="93"/>
      <c r="J2" s="93" t="s">
        <v>21</v>
      </c>
      <c r="K2" s="93"/>
      <c r="L2" s="93"/>
      <c r="M2" s="93"/>
      <c r="N2" s="93" t="s">
        <v>22</v>
      </c>
      <c r="O2" s="93"/>
      <c r="P2" s="93"/>
      <c r="Q2" s="93"/>
    </row>
    <row r="3" spans="1:18" x14ac:dyDescent="0.3">
      <c r="B3" s="3" t="s">
        <v>15</v>
      </c>
      <c r="C3" s="3" t="s">
        <v>16</v>
      </c>
      <c r="D3" s="3" t="s">
        <v>17</v>
      </c>
      <c r="E3" s="38" t="s">
        <v>18</v>
      </c>
      <c r="F3" s="3" t="s">
        <v>15</v>
      </c>
      <c r="G3" s="3" t="s">
        <v>16</v>
      </c>
      <c r="H3" s="3" t="s">
        <v>17</v>
      </c>
      <c r="I3" s="38" t="s">
        <v>18</v>
      </c>
      <c r="J3" s="3" t="s">
        <v>15</v>
      </c>
      <c r="K3" s="3" t="s">
        <v>16</v>
      </c>
      <c r="L3" s="3" t="s">
        <v>17</v>
      </c>
      <c r="M3" s="38" t="s">
        <v>18</v>
      </c>
      <c r="N3" s="3" t="s">
        <v>15</v>
      </c>
      <c r="O3" s="3" t="s">
        <v>16</v>
      </c>
      <c r="P3" s="3" t="s">
        <v>17</v>
      </c>
      <c r="Q3" s="38" t="s">
        <v>18</v>
      </c>
    </row>
    <row r="4" spans="1:18" x14ac:dyDescent="0.3">
      <c r="E4" s="38"/>
      <c r="I4" s="38"/>
      <c r="M4" s="38"/>
      <c r="Q4" s="38"/>
    </row>
    <row r="5" spans="1:18" x14ac:dyDescent="0.3">
      <c r="A5" s="4" t="s">
        <v>60</v>
      </c>
      <c r="E5" s="38"/>
      <c r="I5" s="38"/>
      <c r="M5" s="38"/>
      <c r="Q5" s="38"/>
    </row>
    <row r="6" spans="1:18" x14ac:dyDescent="0.3">
      <c r="A6" s="3" t="s">
        <v>68</v>
      </c>
      <c r="B6" s="8">
        <f>Assumptions!B52</f>
        <v>0</v>
      </c>
      <c r="C6" s="8">
        <f>B10</f>
        <v>5612.3076923076924</v>
      </c>
      <c r="D6" s="8">
        <f t="shared" ref="D6:Q6" si="0">C10</f>
        <v>11233.846153846154</v>
      </c>
      <c r="E6" s="41">
        <f t="shared" si="0"/>
        <v>14040</v>
      </c>
      <c r="F6" s="8">
        <f t="shared" si="0"/>
        <v>17972.307692307691</v>
      </c>
      <c r="G6" s="8">
        <f t="shared" si="0"/>
        <v>29196.923076923074</v>
      </c>
      <c r="H6" s="8">
        <f t="shared" si="0"/>
        <v>51664.615384615383</v>
      </c>
      <c r="I6" s="41">
        <f t="shared" si="0"/>
        <v>69627.692307692312</v>
      </c>
      <c r="J6" s="8">
        <f t="shared" si="0"/>
        <v>61772.307692307695</v>
      </c>
      <c r="K6" s="8">
        <f t="shared" si="0"/>
        <v>89843.076923076922</v>
      </c>
      <c r="L6" s="8">
        <f t="shared" si="0"/>
        <v>146003.07692307691</v>
      </c>
      <c r="M6" s="41">
        <f t="shared" si="0"/>
        <v>207766.15384615384</v>
      </c>
      <c r="N6" s="8">
        <f t="shared" si="0"/>
        <v>171267.69230769231</v>
      </c>
      <c r="O6" s="8">
        <f t="shared" si="0"/>
        <v>241458.46153846153</v>
      </c>
      <c r="P6" s="8">
        <f t="shared" si="0"/>
        <v>381849.23076923075</v>
      </c>
      <c r="Q6" s="41">
        <f t="shared" si="0"/>
        <v>553116.92307692312</v>
      </c>
    </row>
    <row r="7" spans="1:18" x14ac:dyDescent="0.3">
      <c r="A7" s="3" t="s">
        <v>27</v>
      </c>
      <c r="B7" s="8">
        <f>-'Profit &amp; Loss'!C10-+'Profit &amp; Loss'!C11</f>
        <v>-1825.0000000000002</v>
      </c>
      <c r="C7" s="8">
        <f>-'Profit &amp; Loss'!D10-+'Profit &amp; Loss'!D11</f>
        <v>-3648</v>
      </c>
      <c r="D7" s="8">
        <f>-'Profit &amp; Loss'!E10-+'Profit &amp; Loss'!E11</f>
        <v>-7302</v>
      </c>
      <c r="E7" s="41">
        <f>-'Profit &amp; Loss'!F10-+'Profit &amp; Loss'!F11</f>
        <v>-9126</v>
      </c>
      <c r="F7" s="8">
        <f>-'Profit &amp; Loss'!G10-+'Profit &amp; Loss'!G11</f>
        <v>-11682</v>
      </c>
      <c r="G7" s="8">
        <f>-'Profit &amp; Loss'!H10-+'Profit &amp; Loss'!H11</f>
        <v>-18978</v>
      </c>
      <c r="H7" s="8">
        <f>-'Profit &amp; Loss'!I10-+'Profit &amp; Loss'!I11</f>
        <v>-33582</v>
      </c>
      <c r="I7" s="41">
        <f>-'Profit &amp; Loss'!J10-+'Profit &amp; Loss'!J11</f>
        <v>-45258</v>
      </c>
      <c r="J7" s="8">
        <f>-'Profit &amp; Loss'!K10-+'Profit &amp; Loss'!K11</f>
        <v>-40152</v>
      </c>
      <c r="K7" s="8">
        <f>-'Profit &amp; Loss'!L10-+'Profit &amp; Loss'!L11</f>
        <v>-58398</v>
      </c>
      <c r="L7" s="8">
        <f>-'Profit &amp; Loss'!M10-+'Profit &amp; Loss'!M11</f>
        <v>-94902</v>
      </c>
      <c r="M7" s="41">
        <f>-'Profit &amp; Loss'!N10-+'Profit &amp; Loss'!N11</f>
        <v>-135048</v>
      </c>
      <c r="N7" s="8">
        <f>-'Profit &amp; Loss'!O10-+'Profit &amp; Loss'!O11</f>
        <v>-111324</v>
      </c>
      <c r="O7" s="8">
        <f>-'Profit &amp; Loss'!P10-+'Profit &amp; Loss'!P11</f>
        <v>-156948</v>
      </c>
      <c r="P7" s="8">
        <f>-'Profit &amp; Loss'!Q10-+'Profit &amp; Loss'!Q11</f>
        <v>-248202</v>
      </c>
      <c r="Q7" s="41">
        <f>-'Profit &amp; Loss'!R10-+'Profit &amp; Loss'!R11</f>
        <v>-359526</v>
      </c>
      <c r="R7" s="8">
        <f>P7</f>
        <v>-248202</v>
      </c>
    </row>
    <row r="8" spans="1:18" x14ac:dyDescent="0.3">
      <c r="A8" s="3" t="s">
        <v>54</v>
      </c>
      <c r="B8" s="8">
        <f>B10-B7-B6</f>
        <v>7437.3076923076924</v>
      </c>
      <c r="C8" s="8">
        <f t="shared" ref="C8:Q8" si="1">C10-C7-C6</f>
        <v>9269.538461538461</v>
      </c>
      <c r="D8" s="8">
        <f t="shared" si="1"/>
        <v>10108.153846153846</v>
      </c>
      <c r="E8" s="41">
        <f t="shared" si="1"/>
        <v>13058.307692307691</v>
      </c>
      <c r="F8" s="8">
        <f t="shared" si="1"/>
        <v>22906.615384615387</v>
      </c>
      <c r="G8" s="8">
        <f t="shared" si="1"/>
        <v>41445.692307692298</v>
      </c>
      <c r="H8" s="8">
        <f t="shared" si="1"/>
        <v>51545.076923076929</v>
      </c>
      <c r="I8" s="41">
        <f t="shared" si="1"/>
        <v>37402.615384615376</v>
      </c>
      <c r="J8" s="8">
        <f t="shared" si="1"/>
        <v>68222.76923076922</v>
      </c>
      <c r="K8" s="8">
        <f t="shared" si="1"/>
        <v>114557.99999999999</v>
      </c>
      <c r="L8" s="8">
        <f t="shared" si="1"/>
        <v>156665.07692307697</v>
      </c>
      <c r="M8" s="41">
        <f t="shared" si="1"/>
        <v>98549.538461538468</v>
      </c>
      <c r="N8" s="8">
        <f t="shared" si="1"/>
        <v>181514.76923076919</v>
      </c>
      <c r="O8" s="8">
        <f t="shared" si="1"/>
        <v>297338.76923076925</v>
      </c>
      <c r="P8" s="8">
        <f t="shared" si="1"/>
        <v>419469.69230769237</v>
      </c>
      <c r="Q8" s="41">
        <f t="shared" si="1"/>
        <v>188258.30769230763</v>
      </c>
    </row>
    <row r="9" spans="1:18" x14ac:dyDescent="0.3">
      <c r="B9" s="8"/>
      <c r="C9" s="8"/>
      <c r="D9" s="8"/>
      <c r="E9" s="41"/>
      <c r="F9" s="8"/>
      <c r="G9" s="8"/>
      <c r="H9" s="8"/>
      <c r="I9" s="41"/>
      <c r="J9" s="8"/>
      <c r="K9" s="8"/>
      <c r="L9" s="8"/>
      <c r="M9" s="41"/>
      <c r="N9" s="8"/>
      <c r="O9" s="8"/>
      <c r="P9" s="8"/>
      <c r="Q9" s="41"/>
    </row>
    <row r="10" spans="1:18" ht="17.25" thickBot="1" x14ac:dyDescent="0.35">
      <c r="A10" s="3" t="s">
        <v>69</v>
      </c>
      <c r="B10" s="30">
        <f>-C7/91*B11</f>
        <v>5612.3076923076924</v>
      </c>
      <c r="C10" s="30">
        <f t="shared" ref="C10:Q10" si="2">-D7/91*C11</f>
        <v>11233.846153846154</v>
      </c>
      <c r="D10" s="30">
        <f t="shared" si="2"/>
        <v>14040</v>
      </c>
      <c r="E10" s="52">
        <f t="shared" si="2"/>
        <v>17972.307692307691</v>
      </c>
      <c r="F10" s="30">
        <f t="shared" si="2"/>
        <v>29196.923076923074</v>
      </c>
      <c r="G10" s="30">
        <f t="shared" si="2"/>
        <v>51664.615384615383</v>
      </c>
      <c r="H10" s="30">
        <f t="shared" si="2"/>
        <v>69627.692307692312</v>
      </c>
      <c r="I10" s="52">
        <f t="shared" si="2"/>
        <v>61772.307692307695</v>
      </c>
      <c r="J10" s="30">
        <f t="shared" si="2"/>
        <v>89843.076923076922</v>
      </c>
      <c r="K10" s="30">
        <f t="shared" si="2"/>
        <v>146003.07692307691</v>
      </c>
      <c r="L10" s="30">
        <f t="shared" si="2"/>
        <v>207766.15384615384</v>
      </c>
      <c r="M10" s="52">
        <f t="shared" si="2"/>
        <v>171267.69230769231</v>
      </c>
      <c r="N10" s="30">
        <f t="shared" si="2"/>
        <v>241458.46153846153</v>
      </c>
      <c r="O10" s="30">
        <f t="shared" si="2"/>
        <v>381849.23076923075</v>
      </c>
      <c r="P10" s="30">
        <f t="shared" si="2"/>
        <v>553116.92307692312</v>
      </c>
      <c r="Q10" s="52">
        <f t="shared" si="2"/>
        <v>381849.23076923075</v>
      </c>
    </row>
    <row r="11" spans="1:18" ht="17.25" thickTop="1" x14ac:dyDescent="0.3">
      <c r="A11" s="3" t="s">
        <v>70</v>
      </c>
      <c r="B11" s="8">
        <f>Assumptions!$E$32</f>
        <v>140</v>
      </c>
      <c r="C11" s="8">
        <f>Assumptions!$E$32</f>
        <v>140</v>
      </c>
      <c r="D11" s="8">
        <f>Assumptions!$E$32</f>
        <v>140</v>
      </c>
      <c r="E11" s="41">
        <f>Assumptions!$E$32</f>
        <v>140</v>
      </c>
      <c r="F11" s="8">
        <f>Assumptions!$E$32</f>
        <v>140</v>
      </c>
      <c r="G11" s="8">
        <f>Assumptions!$E$32</f>
        <v>140</v>
      </c>
      <c r="H11" s="8">
        <f>Assumptions!$E$32</f>
        <v>140</v>
      </c>
      <c r="I11" s="41">
        <f>Assumptions!$E$32</f>
        <v>140</v>
      </c>
      <c r="J11" s="8">
        <f>Assumptions!$E$32</f>
        <v>140</v>
      </c>
      <c r="K11" s="8">
        <f>Assumptions!$E$32</f>
        <v>140</v>
      </c>
      <c r="L11" s="8">
        <f>Assumptions!$E$32</f>
        <v>140</v>
      </c>
      <c r="M11" s="41">
        <f>Assumptions!$E$32</f>
        <v>140</v>
      </c>
      <c r="N11" s="8">
        <f>Assumptions!$E$32</f>
        <v>140</v>
      </c>
      <c r="O11" s="8">
        <f>Assumptions!$E$32</f>
        <v>140</v>
      </c>
      <c r="P11" s="8">
        <f>Assumptions!$E$32</f>
        <v>140</v>
      </c>
      <c r="Q11" s="41">
        <f>Assumptions!$E$32</f>
        <v>140</v>
      </c>
    </row>
    <row r="13" spans="1:18" x14ac:dyDescent="0.3">
      <c r="C13" s="15">
        <f>SUM(C6:C9)</f>
        <v>11233.846153846152</v>
      </c>
    </row>
  </sheetData>
  <mergeCells count="4">
    <mergeCell ref="B2:E2"/>
    <mergeCell ref="F2:I2"/>
    <mergeCell ref="J2:M2"/>
    <mergeCell ref="N2:Q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9"/>
  <sheetViews>
    <sheetView workbookViewId="0">
      <selection activeCell="B19" sqref="B19:R19"/>
    </sheetView>
  </sheetViews>
  <sheetFormatPr defaultRowHeight="16.5" x14ac:dyDescent="0.3"/>
  <cols>
    <col min="1" max="1" width="20.5703125" style="3" customWidth="1"/>
    <col min="2" max="2" width="12" style="3" customWidth="1"/>
    <col min="3" max="9" width="10.140625" style="3" bestFit="1" customWidth="1"/>
    <col min="10" max="18" width="11.140625" style="3" bestFit="1" customWidth="1"/>
    <col min="19" max="16384" width="9.140625" style="3"/>
  </cols>
  <sheetData>
    <row r="1" spans="1:19" ht="18.75" x14ac:dyDescent="0.3">
      <c r="A1" s="53" t="s">
        <v>125</v>
      </c>
    </row>
    <row r="2" spans="1:19" x14ac:dyDescent="0.3">
      <c r="C2" s="93" t="s">
        <v>19</v>
      </c>
      <c r="D2" s="93"/>
      <c r="E2" s="93"/>
      <c r="F2" s="93"/>
      <c r="G2" s="93" t="s">
        <v>20</v>
      </c>
      <c r="H2" s="93"/>
      <c r="I2" s="93"/>
      <c r="J2" s="93"/>
      <c r="K2" s="93" t="s">
        <v>21</v>
      </c>
      <c r="L2" s="93"/>
      <c r="M2" s="93"/>
      <c r="N2" s="93"/>
      <c r="O2" s="93" t="s">
        <v>22</v>
      </c>
      <c r="P2" s="93"/>
      <c r="Q2" s="93"/>
      <c r="R2" s="93"/>
    </row>
    <row r="3" spans="1:19" x14ac:dyDescent="0.3">
      <c r="B3" s="3" t="s">
        <v>67</v>
      </c>
      <c r="C3" s="3" t="s">
        <v>15</v>
      </c>
      <c r="D3" s="3" t="s">
        <v>16</v>
      </c>
      <c r="E3" s="3" t="s">
        <v>17</v>
      </c>
      <c r="F3" s="38" t="s">
        <v>18</v>
      </c>
      <c r="G3" s="3" t="s">
        <v>15</v>
      </c>
      <c r="H3" s="3" t="s">
        <v>16</v>
      </c>
      <c r="I3" s="3" t="s">
        <v>17</v>
      </c>
      <c r="J3" s="38" t="s">
        <v>18</v>
      </c>
      <c r="K3" s="3" t="s">
        <v>15</v>
      </c>
      <c r="L3" s="3" t="s">
        <v>16</v>
      </c>
      <c r="M3" s="3" t="s">
        <v>17</v>
      </c>
      <c r="N3" s="38" t="s">
        <v>18</v>
      </c>
      <c r="O3" s="3" t="s">
        <v>15</v>
      </c>
      <c r="P3" s="3" t="s">
        <v>16</v>
      </c>
      <c r="Q3" s="3" t="s">
        <v>17</v>
      </c>
      <c r="R3" s="38" t="s">
        <v>18</v>
      </c>
    </row>
    <row r="4" spans="1:19" x14ac:dyDescent="0.3">
      <c r="A4" s="4" t="s">
        <v>71</v>
      </c>
      <c r="F4" s="38"/>
      <c r="J4" s="38"/>
      <c r="N4" s="38"/>
      <c r="R4" s="38"/>
    </row>
    <row r="5" spans="1:19" x14ac:dyDescent="0.3">
      <c r="A5" s="16" t="s">
        <v>59</v>
      </c>
      <c r="B5" s="58">
        <f>Assumptions!B51</f>
        <v>12000</v>
      </c>
      <c r="C5" s="9">
        <f>Cashflow!B24</f>
        <v>7782.345085470085</v>
      </c>
      <c r="D5" s="9">
        <f>Cashflow!C24</f>
        <v>6446.9399572649554</v>
      </c>
      <c r="E5" s="9">
        <f>Cashflow!D24</f>
        <v>13722.569444444445</v>
      </c>
      <c r="F5" s="59">
        <f>Cashflow!E24</f>
        <v>22765.111752136752</v>
      </c>
      <c r="G5" s="9">
        <f>Cashflow!F24</f>
        <v>15773.357652243587</v>
      </c>
      <c r="H5" s="9">
        <f>Cashflow!G24</f>
        <v>9110.7932959401769</v>
      </c>
      <c r="I5" s="9">
        <f>Cashflow!H24</f>
        <v>30116.410990918808</v>
      </c>
      <c r="J5" s="59">
        <f>Cashflow!I24</f>
        <v>95459.923557692324</v>
      </c>
      <c r="K5" s="9">
        <f>Cashflow!J24</f>
        <v>93344.739743589773</v>
      </c>
      <c r="L5" s="9">
        <f>Cashflow!K24</f>
        <v>92080.508493589761</v>
      </c>
      <c r="M5" s="9">
        <f>Cashflow!L24</f>
        <v>143112.60032051284</v>
      </c>
      <c r="N5" s="59">
        <f>Cashflow!M24</f>
        <v>356082.24727564101</v>
      </c>
      <c r="O5" s="9">
        <f>Cashflow!N24</f>
        <v>377398.86762820516</v>
      </c>
      <c r="P5" s="9">
        <f>Cashflow!O24</f>
        <v>400880.22131410259</v>
      </c>
      <c r="Q5" s="9">
        <f>Cashflow!P24</f>
        <v>538223.63525641011</v>
      </c>
      <c r="R5" s="59">
        <f>Cashflow!Q24</f>
        <v>1194674.6671474357</v>
      </c>
    </row>
    <row r="6" spans="1:19" x14ac:dyDescent="0.3">
      <c r="A6" s="16" t="s">
        <v>60</v>
      </c>
      <c r="B6" s="8">
        <f>Inventory!B6</f>
        <v>0</v>
      </c>
      <c r="C6" s="8">
        <f>Inventory!B10</f>
        <v>5612.3076923076924</v>
      </c>
      <c r="D6" s="8">
        <f>Inventory!C10</f>
        <v>11233.846153846154</v>
      </c>
      <c r="E6" s="8">
        <f>Inventory!D10</f>
        <v>14040</v>
      </c>
      <c r="F6" s="41">
        <f>Inventory!E10</f>
        <v>17972.307692307691</v>
      </c>
      <c r="G6" s="8">
        <f>Inventory!F10</f>
        <v>29196.923076923074</v>
      </c>
      <c r="H6" s="8">
        <f>Inventory!G10</f>
        <v>51664.615384615383</v>
      </c>
      <c r="I6" s="8">
        <f>Inventory!H10</f>
        <v>69627.692307692312</v>
      </c>
      <c r="J6" s="41">
        <f>Inventory!I10</f>
        <v>61772.307692307695</v>
      </c>
      <c r="K6" s="8">
        <f>Inventory!J10</f>
        <v>89843.076923076922</v>
      </c>
      <c r="L6" s="8">
        <f>Inventory!K10</f>
        <v>146003.07692307691</v>
      </c>
      <c r="M6" s="8">
        <f>Inventory!L10</f>
        <v>207766.15384615384</v>
      </c>
      <c r="N6" s="41">
        <f>Inventory!M10</f>
        <v>171267.69230769231</v>
      </c>
      <c r="O6" s="8">
        <f>Inventory!N10</f>
        <v>241458.46153846153</v>
      </c>
      <c r="P6" s="8">
        <f>Inventory!O10</f>
        <v>381849.23076923075</v>
      </c>
      <c r="Q6" s="8">
        <f>Inventory!P10</f>
        <v>553116.92307692312</v>
      </c>
      <c r="R6" s="41">
        <f>Inventory!Q10</f>
        <v>381849.23076923075</v>
      </c>
    </row>
    <row r="7" spans="1:19" x14ac:dyDescent="0.3">
      <c r="B7" s="8"/>
      <c r="C7" s="8"/>
      <c r="D7" s="8"/>
      <c r="E7" s="8"/>
      <c r="F7" s="41"/>
      <c r="G7" s="8"/>
      <c r="H7" s="8"/>
      <c r="I7" s="8"/>
      <c r="J7" s="41"/>
      <c r="K7" s="8"/>
      <c r="L7" s="8"/>
      <c r="M7" s="8"/>
      <c r="N7" s="41"/>
      <c r="O7" s="8"/>
      <c r="P7" s="8"/>
      <c r="Q7" s="8"/>
      <c r="R7" s="41"/>
    </row>
    <row r="8" spans="1:19" x14ac:dyDescent="0.3">
      <c r="A8" s="3" t="s">
        <v>61</v>
      </c>
      <c r="B8" s="24">
        <f>SUM(B5:B7)</f>
        <v>12000</v>
      </c>
      <c r="C8" s="24">
        <f>SUM(C5:C7)</f>
        <v>13394.652777777777</v>
      </c>
      <c r="D8" s="24">
        <f t="shared" ref="D8:R8" si="0">SUM(D5:D7)</f>
        <v>17680.786111111109</v>
      </c>
      <c r="E8" s="24">
        <f t="shared" si="0"/>
        <v>27762.569444444445</v>
      </c>
      <c r="F8" s="42">
        <f t="shared" si="0"/>
        <v>40737.419444444444</v>
      </c>
      <c r="G8" s="24">
        <f t="shared" si="0"/>
        <v>44970.280729166661</v>
      </c>
      <c r="H8" s="24">
        <f t="shared" si="0"/>
        <v>60775.408680555556</v>
      </c>
      <c r="I8" s="24">
        <f t="shared" si="0"/>
        <v>99744.103298611124</v>
      </c>
      <c r="J8" s="42">
        <f t="shared" si="0"/>
        <v>157232.23125000001</v>
      </c>
      <c r="K8" s="24">
        <f t="shared" si="0"/>
        <v>183187.81666666671</v>
      </c>
      <c r="L8" s="24">
        <f t="shared" si="0"/>
        <v>238083.58541666667</v>
      </c>
      <c r="M8" s="24">
        <f t="shared" si="0"/>
        <v>350878.75416666665</v>
      </c>
      <c r="N8" s="42">
        <f t="shared" si="0"/>
        <v>527349.93958333333</v>
      </c>
      <c r="O8" s="24">
        <f t="shared" si="0"/>
        <v>618857.32916666672</v>
      </c>
      <c r="P8" s="24">
        <f t="shared" si="0"/>
        <v>782729.4520833334</v>
      </c>
      <c r="Q8" s="24">
        <f t="shared" si="0"/>
        <v>1091340.5583333331</v>
      </c>
      <c r="R8" s="42">
        <f t="shared" si="0"/>
        <v>1576523.8979166665</v>
      </c>
    </row>
    <row r="9" spans="1:19" x14ac:dyDescent="0.3">
      <c r="B9" s="8"/>
      <c r="C9" s="8"/>
      <c r="D9" s="8"/>
      <c r="E9" s="8"/>
      <c r="F9" s="41"/>
      <c r="G9" s="8"/>
      <c r="H9" s="8"/>
      <c r="I9" s="8"/>
      <c r="J9" s="41"/>
      <c r="K9" s="8"/>
      <c r="L9" s="8"/>
      <c r="M9" s="8"/>
      <c r="N9" s="41"/>
      <c r="O9" s="8"/>
      <c r="P9" s="8"/>
      <c r="Q9" s="8"/>
      <c r="R9" s="41"/>
    </row>
    <row r="10" spans="1:19" x14ac:dyDescent="0.3">
      <c r="A10" s="4" t="s">
        <v>62</v>
      </c>
      <c r="B10" s="8"/>
      <c r="C10" s="8"/>
      <c r="D10" s="8"/>
      <c r="E10" s="8"/>
      <c r="F10" s="41"/>
      <c r="G10" s="8"/>
      <c r="H10" s="8"/>
      <c r="I10" s="8"/>
      <c r="J10" s="41"/>
      <c r="K10" s="8"/>
      <c r="L10" s="8"/>
      <c r="M10" s="8"/>
      <c r="N10" s="41"/>
      <c r="O10" s="8"/>
      <c r="P10" s="8"/>
      <c r="Q10" s="8"/>
      <c r="R10" s="41"/>
    </row>
    <row r="11" spans="1:19" x14ac:dyDescent="0.3">
      <c r="A11" s="16" t="s">
        <v>58</v>
      </c>
      <c r="B11" s="8">
        <v>0</v>
      </c>
      <c r="C11" s="8">
        <f>B11+'Profit &amp; Loss'!C29-Cashflow!B17</f>
        <v>348.66319444444457</v>
      </c>
      <c r="D11" s="8">
        <f>C11+'Profit &amp; Loss'!D29-Cashflow!C17</f>
        <v>1420.1965277777779</v>
      </c>
      <c r="E11" s="8">
        <f>D11+'Profit &amp; Loss'!E29-Cashflow!D17</f>
        <v>3940.6423611111113</v>
      </c>
      <c r="F11" s="41">
        <f>E11+'Profit &amp; Loss'!F29-Cashflow!E17</f>
        <v>7184.3548611111109</v>
      </c>
      <c r="G11" s="8">
        <f>F11+'Profit &amp; Loss'!G29-Cashflow!F17</f>
        <v>6895.5036458333325</v>
      </c>
      <c r="H11" s="8">
        <f>G11+'Profit &amp; Loss'!H29-Cashflow!G17</f>
        <v>9499.7190972222215</v>
      </c>
      <c r="I11" s="8">
        <f>H11+'Profit &amp; Loss'!I29-Cashflow!H17</f>
        <v>17894.826215277775</v>
      </c>
      <c r="J11" s="41">
        <f>I11+'Profit &amp; Loss'!J29-Cashflow!I17</f>
        <v>30919.791666666664</v>
      </c>
      <c r="K11" s="8">
        <f>J11+'Profit &amp; Loss'!K29-Cashflow!J17</f>
        <v>31611.227083333331</v>
      </c>
      <c r="L11" s="8">
        <f>K11+'Profit &amp; Loss'!L29-Cashflow!K17</f>
        <v>39537.708333333328</v>
      </c>
      <c r="M11" s="8">
        <f>L11+'Profit &amp; Loss'!M29-Cashflow!L17</f>
        <v>61939.039583333324</v>
      </c>
      <c r="N11" s="41">
        <f>M11+'Profit &amp; Loss'!N29-Cashflow!M17</f>
        <v>100259.37499999999</v>
      </c>
      <c r="O11" s="8">
        <f>N11+'Profit &amp; Loss'!O29-Cashflow!N17</f>
        <v>104337.58958333332</v>
      </c>
      <c r="P11" s="8">
        <f>O11+'Profit &amp; Loss'!P29-Cashflow!O17</f>
        <v>126506.98749999999</v>
      </c>
      <c r="Q11" s="8">
        <f>P11+'Profit &amp; Loss'!Q29-Cashflow!P17</f>
        <v>184861.13124999998</v>
      </c>
      <c r="R11" s="41">
        <f>Q11+'Profit &amp; Loss'!R29-Cashflow!Q17</f>
        <v>287358.33333333331</v>
      </c>
    </row>
    <row r="12" spans="1:19" x14ac:dyDescent="0.3">
      <c r="A12" s="16" t="s">
        <v>66</v>
      </c>
      <c r="B12" s="8">
        <f>B5+B6</f>
        <v>12000</v>
      </c>
      <c r="C12" s="8">
        <f>B12</f>
        <v>12000</v>
      </c>
      <c r="D12" s="8">
        <f t="shared" ref="D12:R12" si="1">C12</f>
        <v>12000</v>
      </c>
      <c r="E12" s="8">
        <f t="shared" si="1"/>
        <v>12000</v>
      </c>
      <c r="F12" s="41">
        <f t="shared" si="1"/>
        <v>12000</v>
      </c>
      <c r="G12" s="8">
        <f t="shared" si="1"/>
        <v>12000</v>
      </c>
      <c r="H12" s="8">
        <f t="shared" si="1"/>
        <v>12000</v>
      </c>
      <c r="I12" s="8">
        <f t="shared" si="1"/>
        <v>12000</v>
      </c>
      <c r="J12" s="41">
        <f t="shared" si="1"/>
        <v>12000</v>
      </c>
      <c r="K12" s="8">
        <f t="shared" si="1"/>
        <v>12000</v>
      </c>
      <c r="L12" s="8">
        <f t="shared" si="1"/>
        <v>12000</v>
      </c>
      <c r="M12" s="8">
        <f t="shared" si="1"/>
        <v>12000</v>
      </c>
      <c r="N12" s="41">
        <f t="shared" si="1"/>
        <v>12000</v>
      </c>
      <c r="O12" s="8">
        <f t="shared" si="1"/>
        <v>12000</v>
      </c>
      <c r="P12" s="8">
        <f t="shared" si="1"/>
        <v>12000</v>
      </c>
      <c r="Q12" s="8">
        <f t="shared" si="1"/>
        <v>12000</v>
      </c>
      <c r="R12" s="41">
        <f t="shared" si="1"/>
        <v>12000</v>
      </c>
    </row>
    <row r="13" spans="1:19" x14ac:dyDescent="0.3">
      <c r="A13" s="3" t="s">
        <v>63</v>
      </c>
      <c r="B13" s="24">
        <f>SUM(B11:B12)</f>
        <v>12000</v>
      </c>
      <c r="C13" s="24">
        <f>SUM(C11:C12)</f>
        <v>12348.663194444445</v>
      </c>
      <c r="D13" s="24">
        <f t="shared" ref="D13:R13" si="2">SUM(D11:D12)</f>
        <v>13420.196527777778</v>
      </c>
      <c r="E13" s="24">
        <f t="shared" si="2"/>
        <v>15940.642361111111</v>
      </c>
      <c r="F13" s="42">
        <f t="shared" si="2"/>
        <v>19184.354861111111</v>
      </c>
      <c r="G13" s="24">
        <f t="shared" si="2"/>
        <v>18895.503645833334</v>
      </c>
      <c r="H13" s="24">
        <f t="shared" si="2"/>
        <v>21499.719097222223</v>
      </c>
      <c r="I13" s="24">
        <f t="shared" si="2"/>
        <v>29894.826215277775</v>
      </c>
      <c r="J13" s="42">
        <f t="shared" si="2"/>
        <v>42919.791666666664</v>
      </c>
      <c r="K13" s="24">
        <f t="shared" si="2"/>
        <v>43611.227083333331</v>
      </c>
      <c r="L13" s="24">
        <f t="shared" si="2"/>
        <v>51537.708333333328</v>
      </c>
      <c r="M13" s="24">
        <f t="shared" si="2"/>
        <v>73939.039583333331</v>
      </c>
      <c r="N13" s="42">
        <f t="shared" si="2"/>
        <v>112259.37499999999</v>
      </c>
      <c r="O13" s="24">
        <f t="shared" si="2"/>
        <v>116337.58958333332</v>
      </c>
      <c r="P13" s="24">
        <f t="shared" si="2"/>
        <v>138506.98749999999</v>
      </c>
      <c r="Q13" s="24">
        <f t="shared" si="2"/>
        <v>196861.13124999998</v>
      </c>
      <c r="R13" s="42">
        <f t="shared" si="2"/>
        <v>299358.33333333331</v>
      </c>
    </row>
    <row r="14" spans="1:19" x14ac:dyDescent="0.3">
      <c r="B14" s="8"/>
      <c r="C14" s="8"/>
      <c r="D14" s="8"/>
      <c r="E14" s="8"/>
      <c r="F14" s="41"/>
      <c r="G14" s="8"/>
      <c r="H14" s="8"/>
      <c r="I14" s="8"/>
      <c r="J14" s="41"/>
      <c r="K14" s="8"/>
      <c r="L14" s="8"/>
      <c r="M14" s="8"/>
      <c r="N14" s="41"/>
      <c r="O14" s="8"/>
      <c r="P14" s="8"/>
      <c r="Q14" s="8"/>
      <c r="R14" s="41"/>
    </row>
    <row r="15" spans="1:19" ht="17.25" thickBot="1" x14ac:dyDescent="0.35">
      <c r="A15" s="4" t="s">
        <v>64</v>
      </c>
      <c r="B15" s="30">
        <f>B8-B13</f>
        <v>0</v>
      </c>
      <c r="C15" s="30">
        <f>C8-C13</f>
        <v>1045.9895833333321</v>
      </c>
      <c r="D15" s="30">
        <f t="shared" ref="D15:S15" si="3">D8-D13</f>
        <v>4260.5895833333307</v>
      </c>
      <c r="E15" s="30">
        <f t="shared" si="3"/>
        <v>11821.927083333334</v>
      </c>
      <c r="F15" s="52">
        <f t="shared" si="3"/>
        <v>21553.064583333333</v>
      </c>
      <c r="G15" s="30">
        <f t="shared" si="3"/>
        <v>26074.777083333327</v>
      </c>
      <c r="H15" s="30">
        <f t="shared" si="3"/>
        <v>39275.689583333333</v>
      </c>
      <c r="I15" s="30">
        <f t="shared" si="3"/>
        <v>69849.277083333349</v>
      </c>
      <c r="J15" s="52">
        <f t="shared" si="3"/>
        <v>114312.43958333335</v>
      </c>
      <c r="K15" s="30">
        <f t="shared" si="3"/>
        <v>139576.58958333338</v>
      </c>
      <c r="L15" s="30">
        <f t="shared" si="3"/>
        <v>186545.87708333333</v>
      </c>
      <c r="M15" s="30">
        <f t="shared" si="3"/>
        <v>276939.71458333335</v>
      </c>
      <c r="N15" s="52">
        <f t="shared" si="3"/>
        <v>415090.56458333333</v>
      </c>
      <c r="O15" s="30">
        <f t="shared" si="3"/>
        <v>502519.73958333337</v>
      </c>
      <c r="P15" s="30">
        <f t="shared" si="3"/>
        <v>644222.46458333335</v>
      </c>
      <c r="Q15" s="30">
        <f t="shared" si="3"/>
        <v>894479.42708333314</v>
      </c>
      <c r="R15" s="52">
        <f t="shared" si="3"/>
        <v>1277165.5645833332</v>
      </c>
      <c r="S15" s="3">
        <f t="shared" si="3"/>
        <v>0</v>
      </c>
    </row>
    <row r="16" spans="1:19" ht="17.25" thickTop="1" x14ac:dyDescent="0.3">
      <c r="B16" s="8"/>
      <c r="C16" s="8"/>
      <c r="D16" s="8"/>
      <c r="E16" s="8"/>
      <c r="F16" s="41"/>
      <c r="G16" s="8"/>
      <c r="H16" s="8"/>
      <c r="I16" s="8"/>
      <c r="J16" s="41"/>
      <c r="K16" s="8"/>
      <c r="L16" s="8"/>
      <c r="M16" s="8"/>
      <c r="N16" s="41"/>
      <c r="O16" s="8"/>
      <c r="P16" s="8"/>
      <c r="Q16" s="8"/>
      <c r="R16" s="41"/>
    </row>
    <row r="17" spans="1:18" ht="17.25" thickBot="1" x14ac:dyDescent="0.35">
      <c r="A17" s="4" t="s">
        <v>65</v>
      </c>
      <c r="B17" s="31">
        <v>0</v>
      </c>
      <c r="C17" s="31">
        <f>'Profit &amp; Loss'!C33</f>
        <v>1045.9895833333337</v>
      </c>
      <c r="D17" s="31">
        <f>'Profit &amp; Loss'!D33</f>
        <v>4260.5895833333334</v>
      </c>
      <c r="E17" s="31">
        <f>'Profit &amp; Loss'!E33</f>
        <v>11821.927083333332</v>
      </c>
      <c r="F17" s="60">
        <f>'Profit &amp; Loss'!F33</f>
        <v>21553.064583333333</v>
      </c>
      <c r="G17" s="31">
        <f>'Profit &amp; Loss'!G33</f>
        <v>26074.777083333331</v>
      </c>
      <c r="H17" s="31">
        <f>'Profit &amp; Loss'!H33</f>
        <v>39275.689583333333</v>
      </c>
      <c r="I17" s="31">
        <f>'Profit &amp; Loss'!I33</f>
        <v>69849.27708333332</v>
      </c>
      <c r="J17" s="60">
        <f>'Profit &amp; Loss'!J33</f>
        <v>114312.43958333331</v>
      </c>
      <c r="K17" s="31">
        <f>'Profit &amp; Loss'!K33</f>
        <v>139576.58958333329</v>
      </c>
      <c r="L17" s="31">
        <f>'Profit &amp; Loss'!L33</f>
        <v>186545.87708333327</v>
      </c>
      <c r="M17" s="31">
        <f>'Profit &amp; Loss'!M33</f>
        <v>276939.71458333323</v>
      </c>
      <c r="N17" s="60">
        <f>'Profit &amp; Loss'!N33</f>
        <v>415090.56458333321</v>
      </c>
      <c r="O17" s="31">
        <f>'Profit &amp; Loss'!O33</f>
        <v>502519.7395833332</v>
      </c>
      <c r="P17" s="31">
        <f>'Profit &amp; Loss'!P33</f>
        <v>644222.46458333323</v>
      </c>
      <c r="Q17" s="31">
        <f>'Profit &amp; Loss'!Q33</f>
        <v>894479.42708333326</v>
      </c>
      <c r="R17" s="60">
        <f>'Profit &amp; Loss'!R33</f>
        <v>1277165.5645833332</v>
      </c>
    </row>
    <row r="18" spans="1:18" ht="17.25" thickTop="1" x14ac:dyDescent="0.3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x14ac:dyDescent="0.3">
      <c r="B19" s="15">
        <f>B15-B17</f>
        <v>0</v>
      </c>
      <c r="C19" s="15">
        <f t="shared" ref="C19:R19" si="4">C15-C17</f>
        <v>0</v>
      </c>
      <c r="D19" s="15">
        <f t="shared" si="4"/>
        <v>0</v>
      </c>
      <c r="E19" s="15">
        <f t="shared" si="4"/>
        <v>0</v>
      </c>
      <c r="F19" s="15">
        <f t="shared" si="4"/>
        <v>0</v>
      </c>
      <c r="G19" s="15">
        <f t="shared" si="4"/>
        <v>0</v>
      </c>
      <c r="H19" s="15">
        <f t="shared" si="4"/>
        <v>0</v>
      </c>
      <c r="I19" s="15">
        <f t="shared" si="4"/>
        <v>0</v>
      </c>
      <c r="J19" s="15">
        <f t="shared" si="4"/>
        <v>0</v>
      </c>
      <c r="K19" s="15">
        <f t="shared" si="4"/>
        <v>0</v>
      </c>
      <c r="L19" s="15">
        <f t="shared" si="4"/>
        <v>0</v>
      </c>
      <c r="M19" s="15">
        <f t="shared" si="4"/>
        <v>0</v>
      </c>
      <c r="N19" s="15">
        <f t="shared" si="4"/>
        <v>0</v>
      </c>
      <c r="O19" s="15">
        <f t="shared" si="4"/>
        <v>0</v>
      </c>
      <c r="P19" s="15">
        <f t="shared" si="4"/>
        <v>0</v>
      </c>
      <c r="Q19" s="15">
        <f t="shared" si="4"/>
        <v>0</v>
      </c>
      <c r="R19" s="15">
        <f t="shared" si="4"/>
        <v>0</v>
      </c>
    </row>
  </sheetData>
  <mergeCells count="4">
    <mergeCell ref="C2:F2"/>
    <mergeCell ref="G2:J2"/>
    <mergeCell ref="K2:N2"/>
    <mergeCell ref="O2:R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4"/>
  <sheetViews>
    <sheetView workbookViewId="0">
      <selection activeCell="A4" sqref="A4"/>
    </sheetView>
  </sheetViews>
  <sheetFormatPr defaultRowHeight="15" x14ac:dyDescent="0.25"/>
  <cols>
    <col min="1" max="1" width="11.7109375" customWidth="1"/>
    <col min="2" max="4" width="10.140625" bestFit="1" customWidth="1"/>
    <col min="5" max="17" width="11.140625" bestFit="1" customWidth="1"/>
  </cols>
  <sheetData>
    <row r="2" spans="1:17" x14ac:dyDescent="0.25">
      <c r="B2" t="s">
        <v>78</v>
      </c>
      <c r="C2" t="s">
        <v>79</v>
      </c>
      <c r="D2" t="s">
        <v>80</v>
      </c>
      <c r="E2" t="s">
        <v>81</v>
      </c>
      <c r="F2" t="s">
        <v>74</v>
      </c>
      <c r="G2" t="s">
        <v>75</v>
      </c>
      <c r="H2" t="s">
        <v>76</v>
      </c>
      <c r="I2" t="s">
        <v>77</v>
      </c>
      <c r="J2" t="s">
        <v>82</v>
      </c>
      <c r="K2" t="s">
        <v>83</v>
      </c>
      <c r="L2" t="s">
        <v>84</v>
      </c>
      <c r="M2" t="s">
        <v>85</v>
      </c>
      <c r="N2" t="s">
        <v>86</v>
      </c>
      <c r="O2" t="s">
        <v>87</v>
      </c>
      <c r="P2" t="s">
        <v>88</v>
      </c>
      <c r="Q2" t="s">
        <v>89</v>
      </c>
    </row>
    <row r="3" spans="1:17" x14ac:dyDescent="0.25">
      <c r="A3" t="s">
        <v>38</v>
      </c>
      <c r="B3" s="1">
        <f>'Profit &amp; Loss'!C7</f>
        <v>7604.166666666667</v>
      </c>
      <c r="C3" s="1">
        <f>'Profit &amp; Loss'!D7</f>
        <v>15200</v>
      </c>
      <c r="D3" s="1">
        <f>'Profit &amp; Loss'!E7</f>
        <v>30425</v>
      </c>
      <c r="E3" s="1">
        <f>'Profit &amp; Loss'!F7</f>
        <v>38025</v>
      </c>
      <c r="F3" s="1">
        <f>'Profit &amp; Loss'!G7</f>
        <v>48675</v>
      </c>
      <c r="G3" s="1">
        <f>'Profit &amp; Loss'!H7</f>
        <v>79075</v>
      </c>
      <c r="H3" s="1">
        <f>'Profit &amp; Loss'!I7</f>
        <v>139925</v>
      </c>
      <c r="I3" s="1">
        <f>'Profit &amp; Loss'!J7</f>
        <v>188575</v>
      </c>
      <c r="J3" s="1">
        <f>'Profit &amp; Loss'!K7</f>
        <v>167300</v>
      </c>
      <c r="K3" s="1">
        <f>'Profit &amp; Loss'!L7</f>
        <v>243325</v>
      </c>
      <c r="L3" s="1">
        <f>'Profit &amp; Loss'!M7</f>
        <v>395425</v>
      </c>
      <c r="M3" s="1">
        <f>'Profit &amp; Loss'!N7</f>
        <v>562700</v>
      </c>
      <c r="N3" s="1">
        <f>'Profit &amp; Loss'!O7</f>
        <v>463850</v>
      </c>
      <c r="O3" s="1">
        <f>'Profit &amp; Loss'!P7</f>
        <v>653950</v>
      </c>
      <c r="P3" s="1">
        <f>'Profit &amp; Loss'!Q7</f>
        <v>1034175</v>
      </c>
      <c r="Q3" s="1">
        <f>'Profit &amp; Loss'!R7</f>
        <v>1498025</v>
      </c>
    </row>
    <row r="4" spans="1:17" x14ac:dyDescent="0.25">
      <c r="A4" t="s">
        <v>59</v>
      </c>
      <c r="B4" s="1">
        <f>Cashflow!B24</f>
        <v>7782.345085470085</v>
      </c>
      <c r="C4" s="1">
        <f>Cashflow!C24</f>
        <v>6446.9399572649554</v>
      </c>
      <c r="D4" s="1">
        <f>Cashflow!D24</f>
        <v>13722.569444444445</v>
      </c>
      <c r="E4" s="1">
        <f>Cashflow!E24</f>
        <v>22765.111752136752</v>
      </c>
      <c r="F4" s="1">
        <f>Cashflow!F24</f>
        <v>15773.357652243587</v>
      </c>
      <c r="G4" s="1">
        <f>Cashflow!G24</f>
        <v>9110.7932959401769</v>
      </c>
      <c r="H4" s="1">
        <f>Cashflow!H24</f>
        <v>30116.410990918808</v>
      </c>
      <c r="I4" s="1">
        <f>Cashflow!I24</f>
        <v>95459.923557692324</v>
      </c>
      <c r="J4" s="1">
        <f>Cashflow!J24</f>
        <v>93344.739743589773</v>
      </c>
      <c r="K4" s="1">
        <f>Cashflow!K24</f>
        <v>92080.508493589761</v>
      </c>
      <c r="L4" s="1">
        <f>Cashflow!L24</f>
        <v>143112.60032051284</v>
      </c>
      <c r="M4" s="1">
        <f>Cashflow!M24</f>
        <v>356082.24727564101</v>
      </c>
      <c r="N4" s="1">
        <f>Cashflow!N24</f>
        <v>377398.86762820516</v>
      </c>
      <c r="O4" s="1">
        <f>Cashflow!O24</f>
        <v>400880.22131410259</v>
      </c>
      <c r="P4" s="1">
        <f>Cashflow!P24</f>
        <v>538223.63525641011</v>
      </c>
      <c r="Q4" s="1">
        <f>Cashflow!Q24</f>
        <v>1194674.6671474357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28"/>
  <sheetViews>
    <sheetView workbookViewId="0">
      <selection activeCell="B7" sqref="B7"/>
    </sheetView>
  </sheetViews>
  <sheetFormatPr defaultRowHeight="15" x14ac:dyDescent="0.25"/>
  <cols>
    <col min="1" max="1" width="21.42578125" customWidth="1"/>
    <col min="2" max="21" width="11" customWidth="1"/>
    <col min="22" max="22" width="14" customWidth="1"/>
  </cols>
  <sheetData>
    <row r="2" spans="1:22" x14ac:dyDescent="0.25">
      <c r="B2" s="64" t="s">
        <v>133</v>
      </c>
      <c r="C2" s="64" t="s">
        <v>134</v>
      </c>
      <c r="D2" s="64" t="s">
        <v>135</v>
      </c>
      <c r="E2" s="64" t="s">
        <v>136</v>
      </c>
      <c r="F2" s="64" t="s">
        <v>137</v>
      </c>
      <c r="G2" s="64" t="s">
        <v>138</v>
      </c>
      <c r="H2" s="64" t="s">
        <v>139</v>
      </c>
      <c r="I2" s="64" t="s">
        <v>140</v>
      </c>
      <c r="J2" s="64" t="s">
        <v>141</v>
      </c>
      <c r="K2" s="64" t="s">
        <v>142</v>
      </c>
      <c r="L2" s="64" t="s">
        <v>143</v>
      </c>
      <c r="M2" s="64" t="s">
        <v>144</v>
      </c>
      <c r="N2" s="64" t="s">
        <v>145</v>
      </c>
      <c r="O2" s="64" t="s">
        <v>146</v>
      </c>
      <c r="P2" s="64" t="s">
        <v>147</v>
      </c>
      <c r="Q2" s="64" t="s">
        <v>148</v>
      </c>
      <c r="R2" s="64" t="s">
        <v>149</v>
      </c>
      <c r="S2" s="64" t="s">
        <v>150</v>
      </c>
      <c r="T2" s="64" t="s">
        <v>151</v>
      </c>
      <c r="U2" s="64" t="s">
        <v>152</v>
      </c>
      <c r="V2" s="64" t="s">
        <v>164</v>
      </c>
    </row>
    <row r="3" spans="1:22" ht="22.5" customHeight="1" x14ac:dyDescent="0.25">
      <c r="A3" s="2" t="s">
        <v>156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5" spans="1:22" x14ac:dyDescent="0.25">
      <c r="A5" s="2" t="s">
        <v>155</v>
      </c>
      <c r="B5" s="65">
        <v>500</v>
      </c>
      <c r="C5" s="65">
        <v>200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1">
        <f>SUM(B5:U5)</f>
        <v>700</v>
      </c>
    </row>
    <row r="7" spans="1:22" x14ac:dyDescent="0.25">
      <c r="A7" s="2" t="s">
        <v>162</v>
      </c>
      <c r="B7" s="68">
        <v>26.99</v>
      </c>
      <c r="C7" s="68">
        <v>15.99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</row>
    <row r="9" spans="1:22" x14ac:dyDescent="0.25">
      <c r="A9" s="2" t="s">
        <v>161</v>
      </c>
    </row>
    <row r="10" spans="1:22" x14ac:dyDescent="0.25">
      <c r="A10" s="2" t="s">
        <v>153</v>
      </c>
      <c r="B10" s="68">
        <v>5</v>
      </c>
      <c r="C10" s="68">
        <v>3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</row>
    <row r="11" spans="1:22" x14ac:dyDescent="0.25">
      <c r="A11" s="2" t="s">
        <v>154</v>
      </c>
      <c r="B11" s="68">
        <v>1</v>
      </c>
      <c r="C11" s="68">
        <v>0.75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</row>
    <row r="12" spans="1:22" x14ac:dyDescent="0.25">
      <c r="A12" s="2" t="s">
        <v>30</v>
      </c>
      <c r="B12" s="68">
        <v>3.96</v>
      </c>
      <c r="C12" s="68">
        <v>2.96</v>
      </c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</row>
    <row r="14" spans="1:22" x14ac:dyDescent="0.25">
      <c r="A14" t="s">
        <v>26</v>
      </c>
      <c r="B14" s="67">
        <f>+B5*B7</f>
        <v>13495</v>
      </c>
      <c r="C14" s="67">
        <f t="shared" ref="C14:U14" si="0">+C5*C7</f>
        <v>3198</v>
      </c>
      <c r="D14" s="67">
        <f t="shared" si="0"/>
        <v>0</v>
      </c>
      <c r="E14" s="67">
        <f t="shared" si="0"/>
        <v>0</v>
      </c>
      <c r="F14" s="67">
        <f t="shared" si="0"/>
        <v>0</v>
      </c>
      <c r="G14" s="67">
        <f t="shared" si="0"/>
        <v>0</v>
      </c>
      <c r="H14" s="67">
        <f t="shared" si="0"/>
        <v>0</v>
      </c>
      <c r="I14" s="67">
        <f t="shared" si="0"/>
        <v>0</v>
      </c>
      <c r="J14" s="67">
        <f t="shared" si="0"/>
        <v>0</v>
      </c>
      <c r="K14" s="67">
        <f t="shared" si="0"/>
        <v>0</v>
      </c>
      <c r="L14" s="67">
        <f t="shared" si="0"/>
        <v>0</v>
      </c>
      <c r="M14" s="67">
        <f t="shared" si="0"/>
        <v>0</v>
      </c>
      <c r="N14" s="67">
        <f t="shared" si="0"/>
        <v>0</v>
      </c>
      <c r="O14" s="67">
        <f t="shared" si="0"/>
        <v>0</v>
      </c>
      <c r="P14" s="67">
        <f t="shared" si="0"/>
        <v>0</v>
      </c>
      <c r="Q14" s="67">
        <f t="shared" si="0"/>
        <v>0</v>
      </c>
      <c r="R14" s="67">
        <f t="shared" si="0"/>
        <v>0</v>
      </c>
      <c r="S14" s="67">
        <f t="shared" si="0"/>
        <v>0</v>
      </c>
      <c r="T14" s="67">
        <f t="shared" si="0"/>
        <v>0</v>
      </c>
      <c r="U14" s="67">
        <f t="shared" si="0"/>
        <v>0</v>
      </c>
      <c r="V14" s="67">
        <f>SUM(B14:U14)</f>
        <v>16693</v>
      </c>
    </row>
    <row r="15" spans="1:22" x14ac:dyDescent="0.25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9"/>
    </row>
    <row r="16" spans="1:22" x14ac:dyDescent="0.25">
      <c r="A16" t="s">
        <v>157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9"/>
    </row>
    <row r="17" spans="1:22" x14ac:dyDescent="0.25">
      <c r="A17" t="s">
        <v>153</v>
      </c>
      <c r="B17" s="67">
        <f>+B5*B10</f>
        <v>2500</v>
      </c>
      <c r="C17" s="67">
        <f t="shared" ref="C17:U17" si="1">+C5*C10</f>
        <v>600</v>
      </c>
      <c r="D17" s="67">
        <f t="shared" si="1"/>
        <v>0</v>
      </c>
      <c r="E17" s="67">
        <f t="shared" si="1"/>
        <v>0</v>
      </c>
      <c r="F17" s="67">
        <f t="shared" si="1"/>
        <v>0</v>
      </c>
      <c r="G17" s="67">
        <f t="shared" si="1"/>
        <v>0</v>
      </c>
      <c r="H17" s="67">
        <f t="shared" si="1"/>
        <v>0</v>
      </c>
      <c r="I17" s="67">
        <f t="shared" si="1"/>
        <v>0</v>
      </c>
      <c r="J17" s="67">
        <f t="shared" si="1"/>
        <v>0</v>
      </c>
      <c r="K17" s="67">
        <f t="shared" si="1"/>
        <v>0</v>
      </c>
      <c r="L17" s="67">
        <f t="shared" si="1"/>
        <v>0</v>
      </c>
      <c r="M17" s="67">
        <f t="shared" si="1"/>
        <v>0</v>
      </c>
      <c r="N17" s="67">
        <f t="shared" si="1"/>
        <v>0</v>
      </c>
      <c r="O17" s="67">
        <f t="shared" si="1"/>
        <v>0</v>
      </c>
      <c r="P17" s="67">
        <f t="shared" si="1"/>
        <v>0</v>
      </c>
      <c r="Q17" s="67">
        <f t="shared" si="1"/>
        <v>0</v>
      </c>
      <c r="R17" s="67">
        <f t="shared" si="1"/>
        <v>0</v>
      </c>
      <c r="S17" s="67">
        <f t="shared" si="1"/>
        <v>0</v>
      </c>
      <c r="T17" s="67">
        <f t="shared" si="1"/>
        <v>0</v>
      </c>
      <c r="U17" s="67">
        <f t="shared" si="1"/>
        <v>0</v>
      </c>
      <c r="V17" s="67">
        <f t="shared" ref="V17:V19" si="2">SUM(B17:U17)</f>
        <v>3100</v>
      </c>
    </row>
    <row r="18" spans="1:22" x14ac:dyDescent="0.25">
      <c r="A18" t="s">
        <v>154</v>
      </c>
      <c r="B18" s="67">
        <f>+B5*B11</f>
        <v>500</v>
      </c>
      <c r="C18" s="67">
        <f t="shared" ref="C18:U18" si="3">+C5*C11</f>
        <v>150</v>
      </c>
      <c r="D18" s="67">
        <f t="shared" si="3"/>
        <v>0</v>
      </c>
      <c r="E18" s="67">
        <f t="shared" si="3"/>
        <v>0</v>
      </c>
      <c r="F18" s="67">
        <f t="shared" si="3"/>
        <v>0</v>
      </c>
      <c r="G18" s="67">
        <f t="shared" si="3"/>
        <v>0</v>
      </c>
      <c r="H18" s="67">
        <f t="shared" si="3"/>
        <v>0</v>
      </c>
      <c r="I18" s="67">
        <f t="shared" si="3"/>
        <v>0</v>
      </c>
      <c r="J18" s="67">
        <f t="shared" si="3"/>
        <v>0</v>
      </c>
      <c r="K18" s="67">
        <f t="shared" si="3"/>
        <v>0</v>
      </c>
      <c r="L18" s="67">
        <f t="shared" si="3"/>
        <v>0</v>
      </c>
      <c r="M18" s="67">
        <f t="shared" si="3"/>
        <v>0</v>
      </c>
      <c r="N18" s="67">
        <f t="shared" si="3"/>
        <v>0</v>
      </c>
      <c r="O18" s="67">
        <f t="shared" si="3"/>
        <v>0</v>
      </c>
      <c r="P18" s="67">
        <f t="shared" si="3"/>
        <v>0</v>
      </c>
      <c r="Q18" s="67">
        <f t="shared" si="3"/>
        <v>0</v>
      </c>
      <c r="R18" s="67">
        <f t="shared" si="3"/>
        <v>0</v>
      </c>
      <c r="S18" s="67">
        <f t="shared" si="3"/>
        <v>0</v>
      </c>
      <c r="T18" s="67">
        <f t="shared" si="3"/>
        <v>0</v>
      </c>
      <c r="U18" s="67">
        <f t="shared" si="3"/>
        <v>0</v>
      </c>
      <c r="V18" s="67">
        <f t="shared" si="2"/>
        <v>650</v>
      </c>
    </row>
    <row r="19" spans="1:22" x14ac:dyDescent="0.25">
      <c r="A19" t="s">
        <v>30</v>
      </c>
      <c r="B19" s="67">
        <f>+B5*B12</f>
        <v>1980</v>
      </c>
      <c r="C19" s="67">
        <f t="shared" ref="C19:U19" si="4">+C5*C12</f>
        <v>592</v>
      </c>
      <c r="D19" s="67">
        <f t="shared" si="4"/>
        <v>0</v>
      </c>
      <c r="E19" s="67">
        <f t="shared" si="4"/>
        <v>0</v>
      </c>
      <c r="F19" s="67">
        <f t="shared" si="4"/>
        <v>0</v>
      </c>
      <c r="G19" s="67">
        <f t="shared" si="4"/>
        <v>0</v>
      </c>
      <c r="H19" s="67">
        <f t="shared" si="4"/>
        <v>0</v>
      </c>
      <c r="I19" s="67">
        <f t="shared" si="4"/>
        <v>0</v>
      </c>
      <c r="J19" s="67">
        <f t="shared" si="4"/>
        <v>0</v>
      </c>
      <c r="K19" s="67">
        <f t="shared" si="4"/>
        <v>0</v>
      </c>
      <c r="L19" s="67">
        <f t="shared" si="4"/>
        <v>0</v>
      </c>
      <c r="M19" s="67">
        <f t="shared" si="4"/>
        <v>0</v>
      </c>
      <c r="N19" s="67">
        <f t="shared" si="4"/>
        <v>0</v>
      </c>
      <c r="O19" s="67">
        <f t="shared" si="4"/>
        <v>0</v>
      </c>
      <c r="P19" s="67">
        <f t="shared" si="4"/>
        <v>0</v>
      </c>
      <c r="Q19" s="67">
        <f t="shared" si="4"/>
        <v>0</v>
      </c>
      <c r="R19" s="67">
        <f t="shared" si="4"/>
        <v>0</v>
      </c>
      <c r="S19" s="67">
        <f t="shared" si="4"/>
        <v>0</v>
      </c>
      <c r="T19" s="67">
        <f t="shared" si="4"/>
        <v>0</v>
      </c>
      <c r="U19" s="67">
        <f t="shared" si="4"/>
        <v>0</v>
      </c>
      <c r="V19" s="67">
        <f t="shared" si="2"/>
        <v>2572</v>
      </c>
    </row>
    <row r="22" spans="1:22" x14ac:dyDescent="0.25">
      <c r="A22" s="2" t="s">
        <v>158</v>
      </c>
    </row>
    <row r="23" spans="1:22" x14ac:dyDescent="0.25">
      <c r="A23" t="s">
        <v>163</v>
      </c>
      <c r="B23">
        <f>+V5</f>
        <v>700</v>
      </c>
    </row>
    <row r="24" spans="1:22" x14ac:dyDescent="0.25">
      <c r="A24" t="s">
        <v>159</v>
      </c>
      <c r="B24" s="66">
        <f>+V14/V5</f>
        <v>23.847142857142856</v>
      </c>
    </row>
    <row r="25" spans="1:22" x14ac:dyDescent="0.25">
      <c r="B25" s="66"/>
    </row>
    <row r="26" spans="1:22" x14ac:dyDescent="0.25">
      <c r="A26" t="s">
        <v>160</v>
      </c>
      <c r="B26" s="66">
        <f>+V17/V5</f>
        <v>4.4285714285714288</v>
      </c>
    </row>
    <row r="27" spans="1:22" x14ac:dyDescent="0.25">
      <c r="A27" t="s">
        <v>154</v>
      </c>
      <c r="B27" s="66">
        <f>+V18/V5</f>
        <v>0.9285714285714286</v>
      </c>
    </row>
    <row r="28" spans="1:22" x14ac:dyDescent="0.25">
      <c r="A28" t="s">
        <v>30</v>
      </c>
      <c r="B28" s="66">
        <f>+V19/V5</f>
        <v>3.6742857142857144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35</vt:i4>
      </vt:variant>
    </vt:vector>
  </HeadingPairs>
  <TitlesOfParts>
    <vt:vector size="43" baseType="lpstr">
      <vt:lpstr>Assumptions</vt:lpstr>
      <vt:lpstr>Annual</vt:lpstr>
      <vt:lpstr>Profit &amp; Loss</vt:lpstr>
      <vt:lpstr>Cashflow</vt:lpstr>
      <vt:lpstr>Inventory</vt:lpstr>
      <vt:lpstr>Balance Sheet</vt:lpstr>
      <vt:lpstr>Graphs</vt:lpstr>
      <vt:lpstr>Product Weighted Price Costs</vt:lpstr>
      <vt:lpstr>AmzComm</vt:lpstr>
      <vt:lpstr>DailySales</vt:lpstr>
      <vt:lpstr>Expy1</vt:lpstr>
      <vt:lpstr>ExpY2</vt:lpstr>
      <vt:lpstr>ExpY3</vt:lpstr>
      <vt:lpstr>ExpY4</vt:lpstr>
      <vt:lpstr>FBA</vt:lpstr>
      <vt:lpstr>Freight</vt:lpstr>
      <vt:lpstr>IncYear</vt:lpstr>
      <vt:lpstr>LUC</vt:lpstr>
      <vt:lpstr>Price</vt:lpstr>
      <vt:lpstr>Q1Inc</vt:lpstr>
      <vt:lpstr>Q1Sales</vt:lpstr>
      <vt:lpstr>Q2Inc</vt:lpstr>
      <vt:lpstr>Q2Sales</vt:lpstr>
      <vt:lpstr>Q3Inc</vt:lpstr>
      <vt:lpstr>Q3Sales</vt:lpstr>
      <vt:lpstr>Q4Inc</vt:lpstr>
      <vt:lpstr>Q4Sales</vt:lpstr>
      <vt:lpstr>SalaryY1</vt:lpstr>
      <vt:lpstr>SalaryY2</vt:lpstr>
      <vt:lpstr>Salaryy3</vt:lpstr>
      <vt:lpstr>SalaryY4</vt:lpstr>
      <vt:lpstr>tax</vt:lpstr>
      <vt:lpstr>VariExp</vt:lpstr>
      <vt:lpstr>Y0Units</vt:lpstr>
      <vt:lpstr>Y1Inc</vt:lpstr>
      <vt:lpstr>Y1Units</vt:lpstr>
      <vt:lpstr>Y2Inc</vt:lpstr>
      <vt:lpstr>Y2Units</vt:lpstr>
      <vt:lpstr>Y3Inc</vt:lpstr>
      <vt:lpstr>Y3Units</vt:lpstr>
      <vt:lpstr>y4Inc</vt:lpstr>
      <vt:lpstr>Y4Units</vt:lpstr>
      <vt:lpstr>Year1Units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Shields</dc:creator>
  <cp:lastModifiedBy>Arnold Shields</cp:lastModifiedBy>
  <dcterms:created xsi:type="dcterms:W3CDTF">2017-09-06T05:17:14Z</dcterms:created>
  <dcterms:modified xsi:type="dcterms:W3CDTF">2022-02-07T04:45:13Z</dcterms:modified>
</cp:coreProperties>
</file>